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drawings/drawing2.xml" ContentType="application/vnd.openxmlformats-officedocument.drawing+xml"/>
  <Override PartName="/xl/drawings/charts/chart2.xml" ContentType="application/vnd.openxmlformats-officedocument.drawingml.chart+xml"/>
  <Override PartName="/xl/worksheets/sheet32.xml" ContentType="application/vnd.openxmlformats-officedocument.spreadsheetml.worksheet+xml"/>
  <Override PartName="/xl/drawings/drawing3.xml" ContentType="application/vnd.openxmlformats-officedocument.drawing+xml"/>
  <Override PartName="/xl/drawings/charts/chart3.xml" ContentType="application/vnd.openxmlformats-officedocument.drawingml.chart+xml"/>
  <Override PartName="/xl/worksheets/sheet33.xml" ContentType="application/vnd.openxmlformats-officedocument.spreadsheetml.worksheet+xml"/>
  <Override PartName="/xl/drawings/drawing4.xml" ContentType="application/vnd.openxmlformats-officedocument.drawing+xml"/>
  <Override PartName="/xl/drawings/charts/chart4.xml" ContentType="application/vnd.openxmlformats-officedocument.drawingml.chart+xml"/>
  <Override PartName="/xl/worksheets/sheet34.xml" ContentType="application/vnd.openxmlformats-officedocument.spreadsheetml.worksheet+xml"/>
  <Override PartName="/xl/drawings/drawing5.xml" ContentType="application/vnd.openxmlformats-officedocument.drawing+xml"/>
  <Override PartName="/xl/drawings/charts/chart5.xml" ContentType="application/vnd.openxmlformats-officedocument.drawingml.chart+xml"/>
  <Override PartName="/xl/drawings/charts/chart6.xml" ContentType="application/vnd.openxmlformats-officedocument.drawingml.chart+xml"/>
  <Override PartName="/xl/worksheets/sheet35.xml" ContentType="application/vnd.openxmlformats-officedocument.spreadsheetml.worksheet+xml"/>
  <Override PartName="/xl/drawings/drawing6.xml" ContentType="application/vnd.openxmlformats-officedocument.drawing+xml"/>
  <Override PartName="/xl/drawings/charts/chart7.xml" ContentType="application/vnd.openxmlformats-officedocument.drawingml.char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drawings/drawing7.xml" ContentType="application/vnd.openxmlformats-officedocument.drawing+xml"/>
  <Override PartName="/xl/drawings/charts/chart8.xml" ContentType="application/vnd.openxmlformats-officedocument.drawingml.char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drawings/drawing8.xml" ContentType="application/vnd.openxmlformats-officedocument.drawing+xml"/>
  <Override PartName="/xl/drawings/charts/chart9.xml" ContentType="application/vnd.openxmlformats-officedocument.drawingml.char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drawings/drawing9.xml" ContentType="application/vnd.openxmlformats-officedocument.drawing+xml"/>
  <Override PartName="/xl/drawings/charts/chart10.xml" ContentType="application/vnd.openxmlformats-officedocument.drawingml.chart+xml"/>
  <Override PartName="/xl/worksheets/sheet8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c42212e77c6421a" /></Relationships>
</file>

<file path=xl/workbook.xml><?xml version="1.0" encoding="utf-8"?>
<x:workbook xmlns:x="http://schemas.openxmlformats.org/spreadsheetml/2006/main">
  <x:sheets>
    <x:sheet xmlns:r="http://schemas.openxmlformats.org/officeDocument/2006/relationships" name="00 Start" sheetId="1" r:id="Rbf5629de8aa74c92"/>
    <x:sheet xmlns:r="http://schemas.openxmlformats.org/officeDocument/2006/relationships" name="01 Setup" sheetId="2" r:id="R336fda893b254cfc"/>
    <x:sheet xmlns:r="http://schemas.openxmlformats.org/officeDocument/2006/relationships" name="02 Tool Index" sheetId="3" r:id="R7c91d7dc3b3c4681"/>
    <x:sheet xmlns:r="http://schemas.openxmlformats.org/officeDocument/2006/relationships" name="03 Dashboard" sheetId="4" r:id="Rb65b3ab1a62a4a78"/>
    <x:sheet xmlns:r="http://schemas.openxmlformats.org/officeDocument/2006/relationships" name="04 Calculation Notes" sheetId="5" r:id="R682c9bcf7db74040"/>
    <x:sheet xmlns:r="http://schemas.openxmlformats.org/officeDocument/2006/relationships" name="05 Sources" sheetId="6" r:id="Rad6903b4056f4c6f"/>
    <x:sheet xmlns:r="http://schemas.openxmlformats.org/officeDocument/2006/relationships" name="P01 Charter" sheetId="7" r:id="R2ca64d76f038475c"/>
    <x:sheet xmlns:r="http://schemas.openxmlformats.org/officeDocument/2006/relationships" name="P02 Aim" sheetId="8" r:id="Ra2d410ee4b874bcd"/>
    <x:sheet xmlns:r="http://schemas.openxmlformats.org/officeDocument/2006/relationships" name="P03 User Interview" sheetId="9" r:id="R001c5ae73cf54e56"/>
    <x:sheet xmlns:r="http://schemas.openxmlformats.org/officeDocument/2006/relationships" name="P04 SIPOC" sheetId="10" r:id="R28a28528244e4324"/>
    <x:sheet xmlns:r="http://schemas.openxmlformats.org/officeDocument/2006/relationships" name="P05 Stakeholders" sheetId="11" r:id="R7c186269961d41d1"/>
    <x:sheet xmlns:r="http://schemas.openxmlformats.org/officeDocument/2006/relationships" name="P06 Measures" sheetId="12" r:id="R35e761d63eab4d18"/>
    <x:sheet xmlns:r="http://schemas.openxmlformats.org/officeDocument/2006/relationships" name="P07 Baseline Plan" sheetId="13" r:id="R97e37dfdd4f5481a"/>
    <x:sheet xmlns:r="http://schemas.openxmlformats.org/officeDocument/2006/relationships" name="P08 Driver Diagram" sheetId="14" r:id="R23b8e05943c34228"/>
    <x:sheet xmlns:r="http://schemas.openxmlformats.org/officeDocument/2006/relationships" name="P09 Fishbone" sheetId="15" r:id="R319fbe2639554983"/>
    <x:sheet xmlns:r="http://schemas.openxmlformats.org/officeDocument/2006/relationships" name="P10 Five Whys" sheetId="16" r:id="R20458fff3e9d403a"/>
    <x:sheet xmlns:r="http://schemas.openxmlformats.org/officeDocument/2006/relationships" name="P11 PICK" sheetId="17" r:id="Rd8cd494db5074bae"/>
    <x:sheet xmlns:r="http://schemas.openxmlformats.org/officeDocument/2006/relationships" name="P12 Safeguards" sheetId="18" r:id="R3567265d46f84326"/>
    <x:sheet xmlns:r="http://schemas.openxmlformats.org/officeDocument/2006/relationships" name="P13 Test Plan" sheetId="19" r:id="Rc931f546ffc741c8"/>
    <x:sheet xmlns:r="http://schemas.openxmlformats.org/officeDocument/2006/relationships" name="P14 Cycle Roadmap" sheetId="20" r:id="Redf36c9c418148a5"/>
    <x:sheet xmlns:r="http://schemas.openxmlformats.org/officeDocument/2006/relationships" name="D01 PDSA Record" sheetId="21" r:id="R8134e46d98c14e7d"/>
    <x:sheet xmlns:r="http://schemas.openxmlformats.org/officeDocument/2006/relationships" name="D02 Readiness Brief" sheetId="22" r:id="R4a8e2f3a37474c2b"/>
    <x:sheet xmlns:r="http://schemas.openxmlformats.org/officeDocument/2006/relationships" name="D03 Time Study" sheetId="23" r:id="R99fc7a43700e4fa3"/>
    <x:sheet xmlns:r="http://schemas.openxmlformats.org/officeDocument/2006/relationships" name="D04 Case Data" sheetId="24" r:id="Rf6707383b022497c"/>
    <x:sheet xmlns:r="http://schemas.openxmlformats.org/officeDocument/2006/relationships" name="D05 Deviations" sheetId="25" r:id="R9d21790109874eb8"/>
    <x:sheet xmlns:r="http://schemas.openxmlformats.org/officeDocument/2006/relationships" name="D06 Huddle" sheetId="26" r:id="R380d6c2fb8034f2b"/>
    <x:sheet xmlns:r="http://schemas.openxmlformats.org/officeDocument/2006/relationships" name="D07 Feedback" sheetId="27" r:id="R32419c659a5f4138"/>
    <x:sheet xmlns:r="http://schemas.openxmlformats.org/officeDocument/2006/relationships" name="D08 Test Changes" sheetId="28" r:id="Rba23a0a482544c90"/>
    <x:sheet xmlns:r="http://schemas.openxmlformats.org/officeDocument/2006/relationships" name="S01 Prediction Review" sheetId="29" r:id="R33eda5d3a8e54164"/>
    <x:sheet xmlns:r="http://schemas.openxmlformats.org/officeDocument/2006/relationships" name="S02 Measure Summary" sheetId="30" r:id="R3f3c5a11f7144218"/>
    <x:sheet xmlns:r="http://schemas.openxmlformats.org/officeDocument/2006/relationships" name="S03 Run Chart" sheetId="31" r:id="Ra730c28e3f9a4dc2"/>
    <x:sheet xmlns:r="http://schemas.openxmlformats.org/officeDocument/2006/relationships" name="S04 I-MR" sheetId="32" r:id="R04fa78a0b29f4c5f"/>
    <x:sheet xmlns:r="http://schemas.openxmlformats.org/officeDocument/2006/relationships" name="S05 p Chart" sheetId="33" r:id="R37110db6493a4566"/>
    <x:sheet xmlns:r="http://schemas.openxmlformats.org/officeDocument/2006/relationships" name="S06 Pareto" sheetId="34" r:id="R90098ece5bda42c3"/>
    <x:sheet xmlns:r="http://schemas.openxmlformats.org/officeDocument/2006/relationships" name="S07 Histogram" sheetId="35" r:id="R16a613b928924221"/>
    <x:sheet xmlns:r="http://schemas.openxmlformats.org/officeDocument/2006/relationships" name="S08 Scatter" sheetId="36" r:id="R7cbc1dabd6804c5a"/>
    <x:sheet xmlns:r="http://schemas.openxmlformats.org/officeDocument/2006/relationships" name="S09 Equity Review" sheetId="37" r:id="R6b2ce796ee8e4aaa"/>
    <x:sheet xmlns:r="http://schemas.openxmlformats.org/officeDocument/2006/relationships" name="S10 Triangulation" sheetId="38" r:id="Ra573ff14744b4412"/>
    <x:sheet xmlns:r="http://schemas.openxmlformats.org/officeDocument/2006/relationships" name="S11 Capacity Value" sheetId="39" r:id="R1e1ab4c53f1c40b6"/>
    <x:sheet xmlns:r="http://schemas.openxmlformats.org/officeDocument/2006/relationships" name="S12 Study Workshop" sheetId="40" r:id="R6e10b9738a0c4164"/>
    <x:sheet xmlns:r="http://schemas.openxmlformats.org/officeDocument/2006/relationships" name="A01 Act Decision" sheetId="41" r:id="R6278ecae5825471e"/>
    <x:sheet xmlns:r="http://schemas.openxmlformats.org/officeDocument/2006/relationships" name="A02 Next Cycle" sheetId="42" r:id="Rbc4e6a2826ea4f23"/>
    <x:sheet xmlns:r="http://schemas.openxmlformats.org/officeDocument/2006/relationships" name="A03 Implementation Ready" sheetId="43" r:id="R2886f053e99d4fea"/>
    <x:sheet xmlns:r="http://schemas.openxmlformats.org/officeDocument/2006/relationships" name="A04 Spread" sheetId="44" r:id="Rf4c936a42c18432f"/>
    <x:sheet xmlns:r="http://schemas.openxmlformats.org/officeDocument/2006/relationships" name="A05 Control Plan" sheetId="45" r:id="Rbb3c7dbff46747be"/>
    <x:sheet xmlns:r="http://schemas.openxmlformats.org/officeDocument/2006/relationships" name="A06 Benefits" sheetId="46" r:id="R92ea958d2eaa442e"/>
    <x:sheet xmlns:r="http://schemas.openxmlformats.org/officeDocument/2006/relationships" name="A07 Handover" sheetId="47" r:id="R5bdea13b9c6446fa"/>
    <x:sheet xmlns:r="http://schemas.openxmlformats.org/officeDocument/2006/relationships" name="A08 Learning Report" sheetId="48" r:id="Rc65fa447188c4f55"/>
    <x:sheet xmlns:r="http://schemas.openxmlformats.org/officeDocument/2006/relationships" name="V01 Lean Charter" sheetId="49" r:id="R11e4d4cfb6494f76"/>
    <x:sheet xmlns:r="http://schemas.openxmlformats.org/officeDocument/2006/relationships" name="V02 Voice to CTQ" sheetId="50" r:id="R05e6c8e35eeb42d1"/>
    <x:sheet xmlns:r="http://schemas.openxmlformats.org/officeDocument/2006/relationships" name="V03 A3" sheetId="51" r:id="Rb1c7472d4b8d4f6c"/>
    <x:sheet xmlns:r="http://schemas.openxmlformats.org/officeDocument/2006/relationships" name="V04 Gemba" sheetId="52" r:id="R8896e3ce72c14c0f"/>
    <x:sheet xmlns:r="http://schemas.openxmlformats.org/officeDocument/2006/relationships" name="V05 Selection" sheetId="53" r:id="Rb34a564d8c03479e"/>
    <x:sheet xmlns:r="http://schemas.openxmlformats.org/officeDocument/2006/relationships" name="V06 X Matrix" sheetId="54" r:id="R83e0b80c6a734d53"/>
    <x:sheet xmlns:r="http://schemas.openxmlformats.org/officeDocument/2006/relationships" name="M01 Family Matrix" sheetId="55" r:id="R326717755e1548d8"/>
    <x:sheet xmlns:r="http://schemas.openxmlformats.org/officeDocument/2006/relationships" name="M02 Current VSM" sheetId="56" r:id="Rf67388aa52fa4e6d"/>
    <x:sheet xmlns:r="http://schemas.openxmlformats.org/officeDocument/2006/relationships" name="M03 Swimlanes" sheetId="57" r:id="R3247c738d0ee44b7"/>
    <x:sheet xmlns:r="http://schemas.openxmlformats.org/officeDocument/2006/relationships" name="M04 Waste Walk" sheetId="58" r:id="R6dfc37988c384435"/>
    <x:sheet xmlns:r="http://schemas.openxmlformats.org/officeDocument/2006/relationships" name="M05 Spaghetti" sheetId="59" r:id="R15242d98b7e3431b"/>
    <x:sheet xmlns:r="http://schemas.openxmlformats.org/officeDocument/2006/relationships" name="M06 Value Time" sheetId="60" r:id="Ra3df96382be044c8"/>
    <x:sheet xmlns:r="http://schemas.openxmlformats.org/officeDocument/2006/relationships" name="M07 Demand Capacity" sheetId="61" r:id="R82f1d442d4414a71"/>
    <x:sheet xmlns:r="http://schemas.openxmlformats.org/officeDocument/2006/relationships" name="M08 Little Law" sheetId="62" r:id="Rd13eb20b52be4b1f"/>
    <x:sheet xmlns:r="http://schemas.openxmlformats.org/officeDocument/2006/relationships" name="M09 Future VSM" sheetId="63" r:id="Rdd3a27949b834ddb"/>
    <x:sheet xmlns:r="http://schemas.openxmlformats.org/officeDocument/2006/relationships" name="F01 ECSS" sheetId="64" r:id="Rdf3dac0cdc5240a9"/>
    <x:sheet xmlns:r="http://schemas.openxmlformats.org/officeDocument/2006/relationships" name="F02 5S" sheetId="65" r:id="Red86de2c5b8d4d35"/>
    <x:sheet xmlns:r="http://schemas.openxmlformats.org/officeDocument/2006/relationships" name="F03 Standard Work" sheetId="66" r:id="Rf02a5a1d426b499d"/>
    <x:sheet xmlns:r="http://schemas.openxmlformats.org/officeDocument/2006/relationships" name="F04 Mistake Proofing" sheetId="67" r:id="R07d2e289f8e84486"/>
    <x:sheet xmlns:r="http://schemas.openxmlformats.org/officeDocument/2006/relationships" name="F05 Stop Signal" sheetId="68" r:id="R7b5432a132bd4641"/>
    <x:sheet xmlns:r="http://schemas.openxmlformats.org/officeDocument/2006/relationships" name="F06 Batch Test" sheetId="69" r:id="R1af5357662cc4932"/>
    <x:sheet xmlns:r="http://schemas.openxmlformats.org/officeDocument/2006/relationships" name="F07 Work Balance" sheetId="70" r:id="Re362a86deeae4f4c"/>
    <x:sheet xmlns:r="http://schemas.openxmlformats.org/officeDocument/2006/relationships" name="F08 Changeover" sheetId="71" r:id="R11fcdc1660e242c2"/>
    <x:sheet xmlns:r="http://schemas.openxmlformats.org/officeDocument/2006/relationships" name="F09 FMEA" sheetId="72" r:id="Rb7a29425ece84e33"/>
    <x:sheet xmlns:r="http://schemas.openxmlformats.org/officeDocument/2006/relationships" name="F10 Kaizen Event" sheetId="73" r:id="R113bff84b18c45b5"/>
    <x:sheet xmlns:r="http://schemas.openxmlformats.org/officeDocument/2006/relationships" name="F11 Automation" sheetId="74" r:id="R2d6d3107db4f4173"/>
    <x:sheet xmlns:r="http://schemas.openxmlformats.org/officeDocument/2006/relationships" name="L01 Takt Pitch" sheetId="75" r:id="Re1d0edd1f56e47db"/>
    <x:sheet xmlns:r="http://schemas.openxmlformats.org/officeDocument/2006/relationships" name="L02 Kanban" sheetId="76" r:id="Rd9955c97840c49ee"/>
    <x:sheet xmlns:r="http://schemas.openxmlformats.org/officeDocument/2006/relationships" name="L03 Replenishment" sheetId="77" r:id="Rcff98aa86a4e4418"/>
    <x:sheet xmlns:r="http://schemas.openxmlformats.org/officeDocument/2006/relationships" name="L04 Levelling" sheetId="78" r:id="R0cdd11f070ba488f"/>
    <x:sheet xmlns:r="http://schemas.openxmlformats.org/officeDocument/2006/relationships" name="L05 FIFO" sheetId="79" r:id="R8e5a0512cc174501"/>
    <x:sheet xmlns:r="http://schemas.openxmlformats.org/officeDocument/2006/relationships" name="L06 Daily Board" sheetId="80" r:id="R33d1027fc66b418b"/>
    <x:sheet xmlns:r="http://schemas.openxmlformats.org/officeDocument/2006/relationships" name="C01 Leader Work" sheetId="81" r:id="R957f38c8282c4276"/>
    <x:sheet xmlns:r="http://schemas.openxmlformats.org/officeDocument/2006/relationships" name="C02 Coaching" sheetId="82" r:id="R5087e415c70d4970"/>
    <x:sheet xmlns:r="http://schemas.openxmlformats.org/officeDocument/2006/relationships" name="C03 Ideas" sheetId="83" r:id="R6b5e7127d7a346db"/>
    <x:sheet xmlns:r="http://schemas.openxmlformats.org/officeDocument/2006/relationships" name="C04 Process Review" sheetId="84" r:id="Rb28f304d2dc04073"/>
    <x:sheet xmlns:r="http://schemas.openxmlformats.org/officeDocument/2006/relationships" name="C05 Maturity" sheetId="85" r:id="Rc7dd7cf8a434432b"/>
    <x:sheet xmlns:r="http://schemas.openxmlformats.org/officeDocument/2006/relationships" name="C06 Sustainability" sheetId="86" r:id="Rfe90655cd3ea4577"/>
    <x:sheet xmlns:r="http://schemas.openxmlformats.org/officeDocument/2006/relationships" name="EX FLOW Data" sheetId="87" r:id="R9612923acdfb42e8"/>
    <x:sheet xmlns:r="http://schemas.openxmlformats.org/officeDocument/2006/relationships" name="EX Worked Calculations" sheetId="88" r:id="R3dd83fa591624e1c"/>
    <x:sheet xmlns:r="http://schemas.openxmlformats.org/officeDocument/2006/relationships" name="EX Cycle Story" sheetId="89" r:id="R47c6f17a07004049"/>
  </x:sheets>
</x:workbook>
</file>

<file path=xl/sharedStrings.xml><?xml version="1.0" encoding="utf-8"?>
<x:sst xmlns:x="http://schemas.openxmlformats.org/spreadsheetml/2006/main"/>
</file>

<file path=xl/styles.xml><?xml version="1.0" encoding="utf-8"?>
<x:styleSheet xmlns:x="http://schemas.openxmlformats.org/spreadsheetml/2006/main">
  <x:numFmts count="9">
    <x:numFmt numFmtId="200" formatCode="yyyy-mm-dd hh:mm"/>
    <x:numFmt numFmtId="201" formatCode="0.00"/>
    <x:numFmt numFmtId="202" formatCode="yyyy-mm-dd"/>
    <x:numFmt numFmtId="203" formatCode="0.0%"/>
    <x:numFmt numFmtId="204" formatCode="0.0&quot; pp&quot;"/>
    <x:numFmt numFmtId="205" formatCode="#,##0.00"/>
    <x:numFmt numFmtId="206" formatCode="0.000"/>
    <x:numFmt numFmtId="207" formatCode="0.00%"/>
    <x:numFmt numFmtId="208" formatCode="0.0"/>
  </x:numFmts>
  <x:fonts count="20">
    <x:font>
      <x:sz val="11"/>
      <x:name val="Carlito"/>
    </x:font>
    <x:font>
      <x:sz val="10"/>
      <x:color rgb="FF0D0D0D"/>
      <x:name val="Arial"/>
    </x:font>
    <x:font>
      <x:b/>
      <x:sz val="20"/>
      <x:color rgb="FFFFFFFF"/>
      <x:name val="Arial"/>
    </x:font>
    <x:font>
      <x:sz val="10"/>
      <x:color rgb="FF47545C"/>
      <x:name val="Arial"/>
    </x:font>
    <x:font>
      <x:b/>
      <x:sz val="10"/>
      <x:color rgb="FF159A91"/>
      <x:name val="Arial"/>
    </x:font>
    <x:font>
      <x:b/>
      <x:sz val="9"/>
      <x:color rgb="FF47545C"/>
      <x:name val="Arial"/>
    </x:font>
    <x:font>
      <x:b/>
      <x:sz val="11"/>
      <x:color rgb="FFFFFFFF"/>
      <x:name val="Arial"/>
    </x:font>
    <x:font>
      <x:b/>
      <x:sz val="10"/>
      <x:color rgb="FF06131B"/>
      <x:name val="Arial"/>
    </x:font>
    <x:font>
      <x:sz val="10"/>
      <x:color rgb="FF075D57"/>
      <x:name val="Arial"/>
    </x:font>
    <x:font>
      <x:sz val="9"/>
      <x:color rgb="FF47545C"/>
      <x:name val="Arial"/>
    </x:font>
    <x:font>
      <x:b/>
      <x:sz val="9"/>
      <x:color rgb="FFFFFFFF"/>
      <x:name val="Arial"/>
    </x:font>
    <x:font>
      <x:sz val="11"/>
      <x:color rgb="FF0D0D0D"/>
      <x:name val="Arial"/>
    </x:font>
    <x:font>
      <x:b/>
      <x:sz val="10"/>
      <x:color rgb="FFFFFFFF"/>
      <x:name val="Arial"/>
    </x:font>
    <x:font>
      <x:b/>
      <x:sz val="10"/>
      <x:color rgb="FF0D0D0D"/>
      <x:name val="Arial"/>
    </x:font>
    <x:font>
      <x:sz val="11"/>
      <x:color rgb="FF47545C"/>
      <x:name val="Arial"/>
    </x:font>
    <x:font>
      <x:b/>
      <x:sz val="12"/>
      <x:color rgb="FFFFFFFF"/>
      <x:name val="Arial"/>
    </x:font>
    <x:font>
      <x:sz val="10"/>
      <x:color rgb="FF0D0D0D"/>
      <x:name val="Arial"/>
    </x:font>
    <x:font>
      <x:b/>
      <x:sz val="12"/>
      <x:color rgb="FF06131B"/>
      <x:name val="Arial"/>
    </x:font>
    <x:font>
      <x:b/>
      <x:sz val="14"/>
      <x:color rgb="FFFFFFFF"/>
      <x:name val="Arial"/>
    </x:font>
    <x:font>
      <x:b/>
      <x:sz val="13"/>
      <x:color rgb="FFFFFFFF"/>
      <x:name val="Arial"/>
    </x:font>
  </x:fonts>
  <x:fills count="7">
    <x:fill>
      <x:patternFill patternType="none"/>
    </x:fill>
    <x:fill>
      <x:patternFill patternType="gray125"/>
    </x:fill>
    <x:fill>
      <x:patternFill patternType="solid">
        <x:fgColor rgb="FF06131B"/>
      </x:patternFill>
    </x:fill>
    <x:fill>
      <x:patternFill patternType="solid">
        <x:fgColor rgb="FFF6F8F9"/>
      </x:patternFill>
    </x:fill>
    <x:fill>
      <x:patternFill patternType="solid">
        <x:fgColor rgb="FFE4F6F3"/>
      </x:patternFill>
    </x:fill>
    <x:fill>
      <x:patternFill patternType="solid">
        <x:fgColor rgb="FFEAF8F5"/>
      </x:patternFill>
    </x:fill>
    <x:fill>
      <x:patternFill patternType="solid">
        <x:fgColor rgb="FF2EC4B6"/>
      </x:patternFill>
    </x:fill>
  </x:fills>
  <x:borders count="2">
    <x:border/>
    <x:border/>
  </x:borders>
  <x:cellStyleXfs count="1">
    <x:xf numFmtId="0" fontId="0" fillId="0" borderId="0"/>
  </x:cellStyleXfs>
  <x:cellXfs count="196">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vertical="top"/>
    </x:xf>
    <x:xf numFmtId="0" fontId="1" fillId="0" borderId="1" xfId="0" applyNumberFormat="1" applyFont="1" applyFill="1" applyBorder="1"/>
    <x:xf numFmtId="0" fontId="1" fillId="0" borderId="1" xfId="0" applyNumberFormat="1" applyFont="1" applyFill="1" applyBorder="1" applyAlignment="1">
      <x:alignment vertical="top"/>
    </x:xf>
    <x:xf numFmtId="0" fontId="1" fillId="2" borderId="0" xfId="0" applyNumberFormat="1" applyFont="1" applyFill="1" applyBorder="1" applyAlignment="1">
      <x:alignment vertical="top"/>
    </x:xf>
    <x:xf numFmtId="0" fontId="2" fillId="2" borderId="0" xfId="0" applyNumberFormat="1" applyFont="1" applyFill="1" applyBorder="1" applyAlignment="1">
      <x:alignment vertical="top"/>
    </x:xf>
    <x:xf numFmtId="0" fontId="2" fillId="2" borderId="0" xfId="0" applyNumberFormat="1" applyFont="1" applyFill="1" applyBorder="1" applyAlignment="1">
      <x:alignment vertical="top" wrapText="1"/>
    </x:xf>
    <x:xf numFmtId="0" fontId="2" fillId="2" borderId="0" xfId="0" applyNumberFormat="1" applyFont="1" applyFill="1" applyBorder="1" applyAlignment="1">
      <x:alignment vertical="center" wrapText="1"/>
    </x:xf>
    <x:xf numFmtId="0" fontId="1" fillId="2" borderId="1" xfId="0" applyNumberFormat="1" applyFont="1" applyFill="1" applyBorder="1" applyAlignment="1">
      <x:alignment vertical="top"/>
    </x:xf>
    <x:xf numFmtId="0" fontId="2" fillId="2" borderId="1" xfId="0" applyNumberFormat="1" applyFont="1" applyFill="1" applyBorder="1" applyAlignment="1">
      <x:alignment vertical="top"/>
    </x:xf>
    <x:xf numFmtId="0" fontId="2" fillId="2" borderId="1" xfId="0" applyNumberFormat="1" applyFont="1" applyFill="1" applyBorder="1" applyAlignment="1">
      <x:alignment vertical="top" wrapText="1"/>
    </x:xf>
    <x:xf numFmtId="0" fontId="2" fillId="2" borderId="1" xfId="0" applyNumberFormat="1" applyFont="1" applyFill="1" applyBorder="1" applyAlignment="1">
      <x:alignment vertical="center" wrapText="1"/>
    </x:xf>
    <x:xf numFmtId="0" fontId="1" fillId="3" borderId="0" xfId="0" applyNumberFormat="1" applyFont="1" applyFill="1" applyBorder="1" applyAlignment="1">
      <x:alignment vertical="top"/>
    </x:xf>
    <x:xf numFmtId="0" fontId="3" fillId="3" borderId="0" xfId="0" applyNumberFormat="1" applyFont="1" applyFill="1" applyBorder="1" applyAlignment="1">
      <x:alignment vertical="top"/>
    </x:xf>
    <x:xf numFmtId="0" fontId="3" fillId="3" borderId="0" xfId="0" applyNumberFormat="1" applyFont="1" applyFill="1" applyBorder="1" applyAlignment="1">
      <x:alignment vertical="top" wrapText="1"/>
    </x:xf>
    <x:xf numFmtId="0" fontId="3" fillId="3" borderId="0" xfId="0" applyNumberFormat="1" applyFont="1" applyFill="1" applyBorder="1" applyAlignment="1">
      <x:alignment vertical="center" wrapText="1"/>
    </x:xf>
    <x:xf numFmtId="0" fontId="1" fillId="3" borderId="1" xfId="0" applyNumberFormat="1" applyFont="1" applyFill="1" applyBorder="1" applyAlignment="1">
      <x:alignment vertical="top"/>
    </x:xf>
    <x:xf numFmtId="0" fontId="3" fillId="3" borderId="1" xfId="0" applyNumberFormat="1" applyFont="1" applyFill="1" applyBorder="1" applyAlignment="1">
      <x:alignment vertical="top"/>
    </x:xf>
    <x:xf numFmtId="0" fontId="3" fillId="3" borderId="1" xfId="0" applyNumberFormat="1" applyFont="1" applyFill="1" applyBorder="1" applyAlignment="1">
      <x:alignment vertical="top" wrapText="1"/>
    </x:xf>
    <x:xf numFmtId="0" fontId="3" fillId="3" borderId="1" xfId="0" applyNumberFormat="1" applyFont="1" applyFill="1" applyBorder="1" applyAlignment="1">
      <x:alignment vertical="center" wrapText="1"/>
    </x:xf>
    <x:xf numFmtId="0" fontId="1" fillId="4" borderId="0" xfId="0" applyNumberFormat="1" applyFont="1" applyFill="1" applyBorder="1" applyAlignment="1">
      <x:alignment vertical="top"/>
    </x:xf>
    <x:xf numFmtId="0" fontId="4" fillId="4" borderId="0" xfId="0" applyNumberFormat="1" applyFont="1" applyFill="1" applyBorder="1" applyAlignment="1">
      <x:alignment vertical="top"/>
    </x:xf>
    <x:xf numFmtId="0" fontId="1" fillId="4" borderId="1" xfId="0" applyNumberFormat="1" applyFont="1" applyFill="1" applyBorder="1" applyAlignment="1">
      <x:alignment vertical="top"/>
    </x:xf>
    <x:xf numFmtId="0" fontId="4" fillId="4" borderId="1" xfId="0" applyNumberFormat="1" applyFont="1" applyFill="1" applyBorder="1" applyAlignment="1">
      <x:alignment vertical="top"/>
    </x:xf>
    <x:xf numFmtId="0" fontId="5" fillId="0" borderId="0" xfId="0" applyNumberFormat="1" applyFont="1" applyFill="1" applyBorder="1" applyAlignment="1">
      <x:alignment vertical="top"/>
    </x:xf>
    <x:xf numFmtId="0" fontId="5" fillId="0" borderId="0" xfId="0" applyNumberFormat="1" applyFont="1" applyFill="1" applyBorder="1" applyAlignment="1">
      <x:alignment vertical="top" wrapText="1"/>
    </x:xf>
    <x:xf numFmtId="0" fontId="5" fillId="0" borderId="0" xfId="0" applyNumberFormat="1" applyFont="1" applyFill="1" applyBorder="1" applyAlignment="1">
      <x:alignment vertical="center" wrapText="1"/>
    </x:xf>
    <x:xf numFmtId="0" fontId="5" fillId="0" borderId="1" xfId="0" applyNumberFormat="1" applyFont="1" applyFill="1" applyBorder="1" applyAlignment="1">
      <x:alignment vertical="top"/>
    </x:xf>
    <x:xf numFmtId="0" fontId="5" fillId="0" borderId="1" xfId="0" applyNumberFormat="1" applyFont="1" applyFill="1" applyBorder="1" applyAlignment="1">
      <x:alignment vertical="top" wrapText="1"/>
    </x:xf>
    <x:xf numFmtId="0" fontId="5" fillId="0" borderId="1" xfId="0" applyNumberFormat="1" applyFont="1" applyFill="1" applyBorder="1" applyAlignment="1">
      <x:alignment vertical="center" wrapText="1"/>
    </x:xf>
    <x:xf numFmtId="0" fontId="6" fillId="2" borderId="0" xfId="0" applyNumberFormat="1" applyFont="1" applyFill="1" applyBorder="1" applyAlignment="1">
      <x:alignment vertical="top"/>
    </x:xf>
    <x:xf numFmtId="0" fontId="6" fillId="2" borderId="0" xfId="0" applyNumberFormat="1" applyFont="1" applyFill="1" applyBorder="1" applyAlignment="1">
      <x:alignment vertical="top" wrapText="1"/>
    </x:xf>
    <x:xf numFmtId="0" fontId="6" fillId="2" borderId="0" xfId="0" applyNumberFormat="1" applyFont="1" applyFill="1" applyBorder="1" applyAlignment="1">
      <x:alignment vertical="center" wrapText="1"/>
    </x:xf>
    <x:xf numFmtId="0" fontId="6" fillId="2" borderId="1" xfId="0" applyNumberFormat="1" applyFont="1" applyFill="1" applyBorder="1" applyAlignment="1">
      <x:alignment vertical="top"/>
    </x:xf>
    <x:xf numFmtId="0" fontId="6" fillId="2" borderId="1" xfId="0" applyNumberFormat="1" applyFont="1" applyFill="1" applyBorder="1" applyAlignment="1">
      <x:alignment vertical="top" wrapText="1"/>
    </x:xf>
    <x:xf numFmtId="0" fontId="6" fillId="2" borderId="1" xfId="0" applyNumberFormat="1" applyFont="1" applyFill="1" applyBorder="1" applyAlignment="1">
      <x:alignment vertical="center" wrapText="1"/>
    </x:xf>
    <x:xf numFmtId="0" fontId="7" fillId="3" borderId="0" xfId="0" applyNumberFormat="1" applyFont="1" applyFill="1" applyBorder="1" applyAlignment="1">
      <x:alignment vertical="top"/>
    </x:xf>
    <x:xf numFmtId="0" fontId="7" fillId="3" borderId="0" xfId="0" applyNumberFormat="1" applyFont="1" applyFill="1" applyBorder="1" applyAlignment="1">
      <x:alignment vertical="top" wrapText="1"/>
    </x:xf>
    <x:xf numFmtId="0" fontId="7" fillId="3" borderId="0" xfId="0" applyNumberFormat="1" applyFont="1" applyFill="1" applyBorder="1" applyAlignment="1">
      <x:alignment vertical="center" wrapText="1"/>
    </x:xf>
    <x:xf numFmtId="0" fontId="7" fillId="3" borderId="1" xfId="0" applyNumberFormat="1" applyFont="1" applyFill="1" applyBorder="1" applyAlignment="1">
      <x:alignment vertical="top"/>
    </x:xf>
    <x:xf numFmtId="0" fontId="7" fillId="3" borderId="1" xfId="0" applyNumberFormat="1" applyFont="1" applyFill="1" applyBorder="1" applyAlignment="1">
      <x:alignment vertical="top" wrapText="1"/>
    </x:xf>
    <x:xf numFmtId="0" fontId="7" fillId="3" borderId="1" xfId="0" applyNumberFormat="1" applyFont="1" applyFill="1" applyBorder="1" applyAlignment="1">
      <x:alignment vertical="center" wrapText="1"/>
    </x:xf>
    <x:xf numFmtId="0" fontId="1" fillId="5" borderId="0" xfId="0" applyNumberFormat="1" applyFont="1" applyFill="1" applyBorder="1" applyAlignment="1">
      <x:alignment vertical="top"/>
    </x:xf>
    <x:xf numFmtId="0" fontId="8" fillId="5" borderId="0" xfId="0" applyNumberFormat="1" applyFont="1" applyFill="1" applyBorder="1" applyAlignment="1">
      <x:alignment vertical="top"/>
    </x:xf>
    <x:xf numFmtId="0" fontId="8" fillId="5" borderId="0" xfId="0" applyNumberFormat="1" applyFont="1" applyFill="1" applyBorder="1" applyAlignment="1">
      <x:alignment vertical="top" wrapText="1"/>
    </x:xf>
    <x:xf numFmtId="0" fontId="1" fillId="5" borderId="1" xfId="0" applyNumberFormat="1" applyFont="1" applyFill="1" applyBorder="1" applyAlignment="1">
      <x:alignment vertical="top"/>
    </x:xf>
    <x:xf numFmtId="0" fontId="8" fillId="5" borderId="1" xfId="0" applyNumberFormat="1" applyFont="1" applyFill="1" applyBorder="1" applyAlignment="1">
      <x:alignment vertical="top"/>
    </x:xf>
    <x:xf numFmtId="0" fontId="8" fillId="5" borderId="1" xfId="0" applyNumberFormat="1" applyFont="1" applyFill="1" applyBorder="1" applyAlignment="1">
      <x:alignment vertical="top" wrapText="1"/>
    </x:xf>
    <x:xf numFmtId="0" fontId="9" fillId="3" borderId="0" xfId="0" applyNumberFormat="1" applyFont="1" applyFill="1" applyBorder="1" applyAlignment="1">
      <x:alignment vertical="top"/>
    </x:xf>
    <x:xf numFmtId="0" fontId="9" fillId="3" borderId="0" xfId="0" applyNumberFormat="1" applyFont="1" applyFill="1" applyBorder="1" applyAlignment="1">
      <x:alignment vertical="top" wrapText="1"/>
    </x:xf>
    <x:xf numFmtId="0" fontId="9" fillId="3" borderId="0" xfId="0" applyNumberFormat="1" applyFont="1" applyFill="1" applyBorder="1" applyAlignment="1">
      <x:alignment vertical="center" wrapText="1"/>
    </x:xf>
    <x:xf numFmtId="0" fontId="9" fillId="3" borderId="1" xfId="0" applyNumberFormat="1" applyFont="1" applyFill="1" applyBorder="1" applyAlignment="1">
      <x:alignment vertical="top"/>
    </x:xf>
    <x:xf numFmtId="0" fontId="9" fillId="3" borderId="1" xfId="0" applyNumberFormat="1" applyFont="1" applyFill="1" applyBorder="1" applyAlignment="1">
      <x:alignment vertical="top" wrapText="1"/>
    </x:xf>
    <x:xf numFmtId="0" fontId="9" fillId="3" borderId="1" xfId="0" applyNumberFormat="1" applyFont="1" applyFill="1" applyBorder="1" applyAlignment="1">
      <x:alignment vertical="center" wrapText="1"/>
    </x:xf>
    <x:xf numFmtId="0" fontId="10" fillId="2" borderId="0" xfId="0" applyNumberFormat="1" applyFont="1" applyFill="1" applyBorder="1" applyAlignment="1">
      <x:alignment vertical="top"/>
    </x:xf>
    <x:xf numFmtId="0" fontId="10" fillId="2" borderId="0" xfId="0" applyNumberFormat="1" applyFont="1" applyFill="1" applyBorder="1" applyAlignment="1">
      <x:alignment vertical="top" wrapText="1"/>
    </x:xf>
    <x:xf numFmtId="0" fontId="10" fillId="2" borderId="0" xfId="0" applyNumberFormat="1" applyFont="1" applyFill="1" applyBorder="1" applyAlignment="1">
      <x:alignment vertical="center" wrapText="1"/>
    </x:xf>
    <x:xf numFmtId="0" fontId="10" fillId="2" borderId="1" xfId="0" applyNumberFormat="1" applyFont="1" applyFill="1" applyBorder="1" applyAlignment="1">
      <x:alignment vertical="top"/>
    </x:xf>
    <x:xf numFmtId="0" fontId="10" fillId="2" borderId="1" xfId="0" applyNumberFormat="1" applyFont="1" applyFill="1" applyBorder="1" applyAlignment="1">
      <x:alignment vertical="top" wrapText="1"/>
    </x:xf>
    <x:xf numFmtId="0" fontId="10" fillId="2" borderId="1" xfId="0" applyNumberFormat="1" applyFont="1" applyFill="1" applyBorder="1" applyAlignment="1">
      <x:alignment vertical="center" wrapText="1"/>
    </x:xf>
    <x:xf numFmtId="0" fontId="7" fillId="0" borderId="0" xfId="0" applyNumberFormat="1" applyFont="1" applyFill="1" applyBorder="1" applyAlignment="1">
      <x:alignment vertical="top"/>
    </x:xf>
    <x:xf numFmtId="0" fontId="7" fillId="0" borderId="0" xfId="0" applyNumberFormat="1" applyFont="1" applyFill="1" applyBorder="1" applyAlignment="1">
      <x:alignment vertical="top" wrapText="1"/>
    </x:xf>
    <x:xf numFmtId="0" fontId="7" fillId="0" borderId="1" xfId="0" applyNumberFormat="1" applyFont="1" applyFill="1" applyBorder="1" applyAlignment="1">
      <x:alignment vertical="top"/>
    </x:xf>
    <x:xf numFmtId="0" fontId="7" fillId="0" borderId="1" xfId="0" applyNumberFormat="1" applyFont="1" applyFill="1" applyBorder="1" applyAlignment="1">
      <x:alignment vertical="top" wrapText="1"/>
    </x:xf>
    <x:xf numFmtId="0" fontId="1" fillId="0" borderId="0" xfId="0" applyNumberFormat="1" applyFont="1" applyFill="1" applyBorder="1" applyAlignment="1">
      <x:alignment vertical="top" wrapText="1"/>
    </x:xf>
    <x:xf numFmtId="0" fontId="1" fillId="0" borderId="1" xfId="0" applyNumberFormat="1" applyFont="1" applyFill="1" applyBorder="1" applyAlignment="1">
      <x:alignment vertical="top" wrapText="1"/>
    </x:xf>
    <x:xf numFmtId="200" fontId="8" fillId="5" borderId="0" xfId="0" applyNumberFormat="1" applyFont="1" applyFill="1" applyBorder="1" applyAlignment="1">
      <x:alignment vertical="top"/>
    </x:xf>
    <x:xf numFmtId="200" fontId="8" fillId="5" borderId="1" xfId="0" applyNumberFormat="1" applyFont="1" applyFill="1" applyBorder="1" applyAlignment="1">
      <x:alignment vertical="top"/>
    </x:xf>
    <x:xf numFmtId="0" fontId="11" fillId="3" borderId="0" xfId="0" applyNumberFormat="1" applyFont="1" applyFill="1" applyBorder="1" applyAlignment="1">
      <x:alignment vertical="top"/>
    </x:xf>
    <x:xf numFmtId="0" fontId="11" fillId="3" borderId="0" xfId="0" applyNumberFormat="1" applyFont="1" applyFill="1" applyBorder="1" applyAlignment="1">
      <x:alignment vertical="top" wrapText="1"/>
    </x:xf>
    <x:xf numFmtId="0" fontId="11" fillId="3" borderId="0" xfId="0" applyNumberFormat="1" applyFont="1" applyFill="1" applyBorder="1" applyAlignment="1">
      <x:alignment vertical="center" wrapText="1"/>
    </x:xf>
    <x:xf numFmtId="0" fontId="11" fillId="3" borderId="1" xfId="0" applyNumberFormat="1" applyFont="1" applyFill="1" applyBorder="1" applyAlignment="1">
      <x:alignment vertical="top"/>
    </x:xf>
    <x:xf numFmtId="0" fontId="11" fillId="3" borderId="1" xfId="0" applyNumberFormat="1" applyFont="1" applyFill="1" applyBorder="1" applyAlignment="1">
      <x:alignment vertical="top" wrapText="1"/>
    </x:xf>
    <x:xf numFmtId="0" fontId="11" fillId="3" borderId="1" xfId="0" applyNumberFormat="1" applyFont="1" applyFill="1" applyBorder="1" applyAlignment="1">
      <x:alignment vertical="center" wrapText="1"/>
    </x:xf>
    <x:xf numFmtId="0" fontId="12" fillId="2" borderId="0" xfId="0" applyNumberFormat="1" applyFont="1" applyFill="1" applyBorder="1" applyAlignment="1">
      <x:alignment vertical="top"/>
    </x:xf>
    <x:xf numFmtId="0" fontId="12" fillId="2" borderId="0" xfId="0" applyNumberFormat="1" applyFont="1" applyFill="1" applyBorder="1" applyAlignment="1">
      <x:alignment vertical="top" wrapText="1"/>
    </x:xf>
    <x:xf numFmtId="0" fontId="12" fillId="2" borderId="1" xfId="0" applyNumberFormat="1" applyFont="1" applyFill="1" applyBorder="1" applyAlignment="1">
      <x:alignment vertical="top"/>
    </x:xf>
    <x:xf numFmtId="0" fontId="12" fillId="2" borderId="1" xfId="0" applyNumberFormat="1" applyFont="1" applyFill="1" applyBorder="1" applyAlignment="1">
      <x:alignment vertical="top" wrapText="1"/>
    </x:xf>
    <x:xf numFmtId="200" fontId="8" fillId="5" borderId="0" xfId="0" applyNumberFormat="1" applyFont="1" applyFill="1" applyBorder="1" applyAlignment="1">
      <x:alignment vertical="top" wrapText="1"/>
    </x:xf>
    <x:xf numFmtId="200" fontId="8" fillId="5" borderId="1" xfId="0" applyNumberFormat="1" applyFont="1" applyFill="1" applyBorder="1" applyAlignment="1">
      <x:alignment vertical="top" wrapText="1"/>
    </x:xf>
    <x:xf numFmtId="0" fontId="8" fillId="3"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8" fillId="3" borderId="1" xfId="0" applyNumberFormat="1" applyFont="1" applyFill="1" applyBorder="1" applyAlignment="1">
      <x:alignment vertical="top" wrapText="1"/>
    </x:xf>
    <x:xf numFmtId="0" fontId="1" fillId="3" borderId="1" xfId="0" applyNumberFormat="1" applyFont="1" applyFill="1" applyBorder="1" applyAlignment="1">
      <x:alignment vertical="top" wrapText="1"/>
    </x:xf>
    <x:xf numFmtId="201" fontId="1" fillId="3" borderId="0" xfId="0" applyNumberFormat="1" applyFont="1" applyFill="1" applyBorder="1" applyAlignment="1">
      <x:alignment vertical="top" wrapText="1"/>
    </x:xf>
    <x:xf numFmtId="201" fontId="1" fillId="3" borderId="1" xfId="0" applyNumberFormat="1" applyFont="1" applyFill="1" applyBorder="1" applyAlignment="1">
      <x:alignment vertical="top" wrapText="1"/>
    </x:xf>
    <x:xf numFmtId="202" fontId="8" fillId="5" borderId="0" xfId="0" applyNumberFormat="1" applyFont="1" applyFill="1" applyBorder="1" applyAlignment="1">
      <x:alignment vertical="top" wrapText="1"/>
    </x:xf>
    <x:xf numFmtId="202" fontId="8" fillId="5" borderId="1" xfId="0" applyNumberFormat="1" applyFont="1" applyFill="1" applyBorder="1" applyAlignment="1">
      <x:alignment vertical="top" wrapText="1"/>
    </x:xf>
    <x:xf numFmtId="203" fontId="1" fillId="3" borderId="0" xfId="0" applyNumberFormat="1" applyFont="1" applyFill="1" applyBorder="1" applyAlignment="1">
      <x:alignment vertical="top" wrapText="1"/>
    </x:xf>
    <x:xf numFmtId="203" fontId="1" fillId="3" borderId="1" xfId="0" applyNumberFormat="1" applyFont="1" applyFill="1" applyBorder="1" applyAlignment="1">
      <x:alignment vertical="top" wrapText="1"/>
    </x:xf>
    <x:xf numFmtId="204" fontId="1" fillId="3" borderId="0" xfId="0" applyNumberFormat="1" applyFont="1" applyFill="1" applyBorder="1" applyAlignment="1">
      <x:alignment vertical="top" wrapText="1"/>
    </x:xf>
    <x:xf numFmtId="204" fontId="1" fillId="3" borderId="1" xfId="0" applyNumberFormat="1" applyFont="1" applyFill="1" applyBorder="1" applyAlignment="1">
      <x:alignment vertical="top" wrapText="1"/>
    </x:xf>
    <x:xf numFmtId="0" fontId="13" fillId="0" borderId="0" xfId="0" applyNumberFormat="1" applyFont="1" applyFill="1" applyBorder="1" applyAlignment="1">
      <x:alignment vertical="top"/>
    </x:xf>
    <x:xf numFmtId="0" fontId="13" fillId="0" borderId="0" xfId="0" applyNumberFormat="1" applyFont="1" applyFill="1" applyBorder="1" applyAlignment="1">
      <x:alignment vertical="top" wrapText="1"/>
    </x:xf>
    <x:xf numFmtId="0" fontId="13" fillId="0" borderId="1" xfId="0" applyNumberFormat="1" applyFont="1" applyFill="1" applyBorder="1" applyAlignment="1">
      <x:alignment vertical="top"/>
    </x:xf>
    <x:xf numFmtId="0" fontId="13" fillId="0" borderId="1" xfId="0" applyNumberFormat="1" applyFont="1" applyFill="1" applyBorder="1" applyAlignment="1">
      <x:alignment vertical="top" wrapText="1"/>
    </x:xf>
    <x:xf numFmtId="205" fontId="1" fillId="5" borderId="0" xfId="0" applyNumberFormat="1" applyFont="1" applyFill="1" applyBorder="1" applyAlignment="1">
      <x:alignment vertical="top"/>
    </x:xf>
    <x:xf numFmtId="205" fontId="1" fillId="3" borderId="0" xfId="0" applyNumberFormat="1" applyFont="1" applyFill="1" applyBorder="1" applyAlignment="1">
      <x:alignment vertical="top"/>
    </x:xf>
    <x:xf numFmtId="205" fontId="1" fillId="5" borderId="1" xfId="0" applyNumberFormat="1" applyFont="1" applyFill="1" applyBorder="1" applyAlignment="1">
      <x:alignment vertical="top"/>
    </x:xf>
    <x:xf numFmtId="205" fontId="1" fillId="3" borderId="1" xfId="0" applyNumberFormat="1" applyFont="1" applyFill="1" applyBorder="1" applyAlignment="1">
      <x:alignment vertical="top"/>
    </x:xf>
    <x:xf numFmtId="0" fontId="14" fillId="3" borderId="0" xfId="0" applyNumberFormat="1" applyFont="1" applyFill="1" applyBorder="1" applyAlignment="1">
      <x:alignment vertical="top"/>
    </x:xf>
    <x:xf numFmtId="0" fontId="14" fillId="3" borderId="0" xfId="0" applyNumberFormat="1" applyFont="1" applyFill="1" applyBorder="1" applyAlignment="1">
      <x:alignment vertical="top" wrapText="1"/>
    </x:xf>
    <x:xf numFmtId="0" fontId="14" fillId="3" borderId="0" xfId="0" applyNumberFormat="1" applyFont="1" applyFill="1" applyBorder="1" applyAlignment="1">
      <x:alignment vertical="center" wrapText="1"/>
    </x:xf>
    <x:xf numFmtId="0" fontId="14" fillId="3" borderId="1" xfId="0" applyNumberFormat="1" applyFont="1" applyFill="1" applyBorder="1" applyAlignment="1">
      <x:alignment vertical="top"/>
    </x:xf>
    <x:xf numFmtId="0" fontId="14" fillId="3" borderId="1" xfId="0" applyNumberFormat="1" applyFont="1" applyFill="1" applyBorder="1" applyAlignment="1">
      <x:alignment vertical="top" wrapText="1"/>
    </x:xf>
    <x:xf numFmtId="0" fontId="14" fillId="3" borderId="1" xfId="0" applyNumberFormat="1" applyFont="1" applyFill="1" applyBorder="1" applyAlignment="1">
      <x:alignment vertical="center" wrapText="1"/>
    </x:xf>
    <x:xf numFmtId="0" fontId="1" fillId="5" borderId="0" xfId="0" applyNumberFormat="1" applyFont="1" applyFill="1" applyBorder="1" applyAlignment="1">
      <x:alignment vertical="top" wrapText="1"/>
    </x:xf>
    <x:xf numFmtId="0" fontId="1" fillId="5" borderId="1" xfId="0" applyNumberFormat="1" applyFont="1" applyFill="1" applyBorder="1" applyAlignment="1">
      <x:alignment vertical="top" wrapText="1"/>
    </x:xf>
    <x:xf numFmtId="201" fontId="8" fillId="5" borderId="0" xfId="0" applyNumberFormat="1" applyFont="1" applyFill="1" applyBorder="1" applyAlignment="1">
      <x:alignment vertical="top" wrapText="1"/>
    </x:xf>
    <x:xf numFmtId="201" fontId="8" fillId="5" borderId="1" xfId="0" applyNumberFormat="1" applyFont="1" applyFill="1" applyBorder="1" applyAlignment="1">
      <x:alignment vertical="top" wrapText="1"/>
    </x:xf>
    <x:xf numFmtId="206" fontId="8" fillId="5" borderId="0" xfId="0" applyNumberFormat="1" applyFont="1" applyFill="1" applyBorder="1" applyAlignment="1">
      <x:alignment vertical="top" wrapText="1"/>
    </x:xf>
    <x:xf numFmtId="206" fontId="1" fillId="3" borderId="0" xfId="0" applyNumberFormat="1" applyFont="1" applyFill="1" applyBorder="1" applyAlignment="1">
      <x:alignment vertical="top" wrapText="1"/>
    </x:xf>
    <x:xf numFmtId="206" fontId="8" fillId="5" borderId="1" xfId="0" applyNumberFormat="1" applyFont="1" applyFill="1" applyBorder="1" applyAlignment="1">
      <x:alignment vertical="top" wrapText="1"/>
    </x:xf>
    <x:xf numFmtId="206" fontId="1" fillId="3" borderId="1" xfId="0" applyNumberFormat="1" applyFont="1" applyFill="1" applyBorder="1" applyAlignment="1">
      <x:alignment vertical="top" wrapText="1"/>
    </x:xf>
    <x:xf numFmtId="207" fontId="1" fillId="3" borderId="0" xfId="0" applyNumberFormat="1" applyFont="1" applyFill="1" applyBorder="1" applyAlignment="1">
      <x:alignment vertical="top" wrapText="1"/>
    </x:xf>
    <x:xf numFmtId="207" fontId="1" fillId="3" borderId="1" xfId="0" applyNumberFormat="1" applyFont="1" applyFill="1" applyBorder="1" applyAlignment="1">
      <x:alignment vertical="top" wrapText="1"/>
    </x:xf>
    <x:xf numFmtId="203" fontId="1" fillId="5" borderId="0" xfId="0" applyNumberFormat="1" applyFont="1" applyFill="1" applyBorder="1" applyAlignment="1">
      <x:alignment vertical="top" wrapText="1"/>
    </x:xf>
    <x:xf numFmtId="203" fontId="1" fillId="5" borderId="1" xfId="0" applyNumberFormat="1" applyFont="1" applyFill="1" applyBorder="1" applyAlignment="1">
      <x:alignment vertical="top" wrapText="1"/>
    </x:xf>
    <x:xf numFmtId="0" fontId="15" fillId="2" borderId="0" xfId="0" applyNumberFormat="1" applyFont="1" applyFill="1" applyBorder="1" applyAlignment="1">
      <x:alignment vertical="top"/>
    </x:xf>
    <x:xf numFmtId="0" fontId="15" fillId="2" borderId="0" xfId="0" applyNumberFormat="1" applyFont="1" applyFill="1" applyBorder="1" applyAlignment="1">
      <x:alignment vertical="top" wrapText="1"/>
    </x:xf>
    <x:xf numFmtId="0" fontId="15" fillId="2" borderId="0" xfId="0" applyNumberFormat="1" applyFont="1" applyFill="1" applyBorder="1" applyAlignment="1">
      <x:alignment vertical="center" wrapText="1"/>
    </x:xf>
    <x:xf numFmtId="0" fontId="15" fillId="2" borderId="1" xfId="0" applyNumberFormat="1" applyFont="1" applyFill="1" applyBorder="1" applyAlignment="1">
      <x:alignment vertical="top"/>
    </x:xf>
    <x:xf numFmtId="0" fontId="15" fillId="2" borderId="1" xfId="0" applyNumberFormat="1" applyFont="1" applyFill="1" applyBorder="1" applyAlignment="1">
      <x:alignment vertical="top" wrapText="1"/>
    </x:xf>
    <x:xf numFmtId="0" fontId="15" fillId="2" borderId="1" xfId="0" applyNumberFormat="1" applyFont="1" applyFill="1" applyBorder="1" applyAlignment="1">
      <x:alignment vertical="center" wrapText="1"/>
    </x:xf>
    <x:xf numFmtId="0" fontId="12" fillId="2" borderId="0" xfId="0" applyNumberFormat="1" applyFont="1" applyFill="1" applyBorder="1" applyAlignment="1">
      <x:alignment vertical="center" wrapText="1"/>
    </x:xf>
    <x:xf numFmtId="0" fontId="12" fillId="2" borderId="1" xfId="0" applyNumberFormat="1" applyFont="1" applyFill="1" applyBorder="1" applyAlignment="1">
      <x:alignment vertical="center" wrapText="1"/>
    </x:xf>
    <x:xf numFmtId="0" fontId="13" fillId="3" borderId="0" xfId="0" applyNumberFormat="1" applyFont="1" applyFill="1" applyBorder="1" applyAlignment="1">
      <x:alignment vertical="top"/>
    </x:xf>
    <x:xf numFmtId="0" fontId="13" fillId="3" borderId="0" xfId="0" applyNumberFormat="1" applyFont="1" applyFill="1" applyBorder="1" applyAlignment="1">
      <x:alignment vertical="top" wrapText="1"/>
    </x:xf>
    <x:xf numFmtId="0" fontId="13" fillId="3" borderId="1" xfId="0" applyNumberFormat="1" applyFont="1" applyFill="1" applyBorder="1" applyAlignment="1">
      <x:alignment vertical="top"/>
    </x:xf>
    <x:xf numFmtId="0" fontId="13" fillId="3" borderId="1" xfId="0" applyNumberFormat="1" applyFont="1" applyFill="1" applyBorder="1" applyAlignment="1">
      <x:alignment vertical="top" wrapText="1"/>
    </x:xf>
    <x:xf numFmtId="203" fontId="1" fillId="0" borderId="0" xfId="0" applyNumberFormat="1" applyFont="1" applyFill="1" applyBorder="1" applyAlignment="1">
      <x:alignment vertical="top"/>
    </x:xf>
    <x:xf numFmtId="203" fontId="1" fillId="0" borderId="1" xfId="0" applyNumberFormat="1" applyFont="1" applyFill="1" applyBorder="1" applyAlignment="1">
      <x:alignment vertical="top"/>
    </x:xf>
    <x:xf numFmtId="0" fontId="16" fillId="3" borderId="0" xfId="0" applyNumberFormat="1" applyFont="1" applyFill="1" applyBorder="1" applyAlignment="1">
      <x:alignment vertical="top"/>
    </x:xf>
    <x:xf numFmtId="0" fontId="16" fillId="3" borderId="0" xfId="0" applyNumberFormat="1" applyFont="1" applyFill="1" applyBorder="1" applyAlignment="1">
      <x:alignment vertical="top" wrapText="1"/>
    </x:xf>
    <x:xf numFmtId="0" fontId="16" fillId="3" borderId="0" xfId="0" applyNumberFormat="1" applyFont="1" applyFill="1" applyBorder="1" applyAlignment="1">
      <x:alignment vertical="center" wrapText="1"/>
    </x:xf>
    <x:xf numFmtId="0" fontId="16" fillId="3" borderId="1" xfId="0" applyNumberFormat="1" applyFont="1" applyFill="1" applyBorder="1" applyAlignment="1">
      <x:alignment vertical="top"/>
    </x:xf>
    <x:xf numFmtId="0" fontId="16" fillId="3" borderId="1" xfId="0" applyNumberFormat="1" applyFont="1" applyFill="1" applyBorder="1" applyAlignment="1">
      <x:alignment vertical="top" wrapText="1"/>
    </x:xf>
    <x:xf numFmtId="0" fontId="16" fillId="3" borderId="1" xfId="0" applyNumberFormat="1" applyFont="1" applyFill="1" applyBorder="1" applyAlignment="1">
      <x:alignment vertical="center" wrapText="1"/>
    </x:xf>
    <x:xf numFmtId="203" fontId="1" fillId="0" borderId="0" xfId="0" applyNumberFormat="1" applyFont="1" applyFill="1" applyBorder="1" applyAlignment="1">
      <x:alignment vertical="top" wrapText="1"/>
    </x:xf>
    <x:xf numFmtId="203" fontId="1" fillId="0" borderId="1" xfId="0" applyNumberFormat="1" applyFont="1" applyFill="1" applyBorder="1" applyAlignment="1">
      <x:alignment vertical="top" wrapText="1"/>
    </x:xf>
    <x:xf numFmtId="0" fontId="11" fillId="5" borderId="0" xfId="0" applyNumberFormat="1" applyFont="1" applyFill="1" applyBorder="1" applyAlignment="1">
      <x:alignment vertical="top"/>
    </x:xf>
    <x:xf numFmtId="0" fontId="11" fillId="5" borderId="0" xfId="0" applyNumberFormat="1" applyFont="1" applyFill="1" applyBorder="1" applyAlignment="1">
      <x:alignment vertical="top" wrapText="1"/>
    </x:xf>
    <x:xf numFmtId="0" fontId="11" fillId="5" borderId="0" xfId="0" applyNumberFormat="1" applyFont="1" applyFill="1" applyBorder="1" applyAlignment="1">
      <x:alignment vertical="center" wrapText="1"/>
    </x:xf>
    <x:xf numFmtId="0" fontId="11" fillId="5" borderId="1" xfId="0" applyNumberFormat="1" applyFont="1" applyFill="1" applyBorder="1" applyAlignment="1">
      <x:alignment vertical="top"/>
    </x:xf>
    <x:xf numFmtId="0" fontId="11" fillId="5" borderId="1" xfId="0" applyNumberFormat="1" applyFont="1" applyFill="1" applyBorder="1" applyAlignment="1">
      <x:alignment vertical="top" wrapText="1"/>
    </x:xf>
    <x:xf numFmtId="0" fontId="11" fillId="5" borderId="1" xfId="0" applyNumberFormat="1" applyFont="1" applyFill="1" applyBorder="1" applyAlignment="1">
      <x:alignment vertical="center" wrapText="1"/>
    </x:xf>
    <x:xf numFmtId="0" fontId="16" fillId="5" borderId="0" xfId="0" applyNumberFormat="1" applyFont="1" applyFill="1" applyBorder="1" applyAlignment="1">
      <x:alignment vertical="top"/>
    </x:xf>
    <x:xf numFmtId="0" fontId="16" fillId="5" borderId="0" xfId="0" applyNumberFormat="1" applyFont="1" applyFill="1" applyBorder="1" applyAlignment="1">
      <x:alignment vertical="top" wrapText="1"/>
    </x:xf>
    <x:xf numFmtId="0" fontId="16" fillId="5" borderId="0" xfId="0" applyNumberFormat="1" applyFont="1" applyFill="1" applyBorder="1" applyAlignment="1">
      <x:alignment vertical="center" wrapText="1"/>
    </x:xf>
    <x:xf numFmtId="0" fontId="16" fillId="5" borderId="1" xfId="0" applyNumberFormat="1" applyFont="1" applyFill="1" applyBorder="1" applyAlignment="1">
      <x:alignment vertical="top"/>
    </x:xf>
    <x:xf numFmtId="0" fontId="16" fillId="5" borderId="1" xfId="0" applyNumberFormat="1" applyFont="1" applyFill="1" applyBorder="1" applyAlignment="1">
      <x:alignment vertical="top" wrapText="1"/>
    </x:xf>
    <x:xf numFmtId="0" fontId="16" fillId="5" borderId="1" xfId="0" applyNumberFormat="1" applyFont="1" applyFill="1" applyBorder="1" applyAlignment="1">
      <x:alignment vertical="center" wrapText="1"/>
    </x:xf>
    <x:xf numFmtId="0" fontId="6" fillId="3" borderId="0" xfId="0" applyNumberFormat="1" applyFont="1" applyFill="1" applyBorder="1" applyAlignment="1">
      <x:alignment vertical="center" wrapText="1"/>
    </x:xf>
    <x:xf numFmtId="0" fontId="6" fillId="3" borderId="1"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3" fillId="5" borderId="0" xfId="0" applyNumberFormat="1" applyFont="1" applyFill="1" applyBorder="1" applyAlignment="1">
      <x:alignment vertical="center" wrapText="1"/>
    </x:xf>
    <x:xf numFmtId="0" fontId="7" fillId="5" borderId="1" xfId="0" applyNumberFormat="1" applyFont="1" applyFill="1" applyBorder="1" applyAlignment="1">
      <x:alignment vertical="center" wrapText="1"/>
    </x:xf>
    <x:xf numFmtId="0" fontId="3" fillId="5" borderId="1" xfId="0" applyNumberFormat="1" applyFont="1" applyFill="1" applyBorder="1" applyAlignment="1">
      <x:alignment vertical="center" wrapText="1"/>
    </x:xf>
    <x:xf numFmtId="0" fontId="7"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7" fillId="2" borderId="1" xfId="0" applyNumberFormat="1" applyFont="1" applyFill="1" applyBorder="1" applyAlignment="1">
      <x:alignment vertical="center" wrapText="1"/>
    </x:xf>
    <x:xf numFmtId="0" fontId="3" fillId="2" borderId="1" xfId="0" applyNumberFormat="1" applyFont="1" applyFill="1" applyBorder="1" applyAlignment="1">
      <x:alignment vertical="center" wrapText="1"/>
    </x:xf>
    <x:xf numFmtId="0" fontId="8" fillId="2" borderId="0" xfId="0" applyNumberFormat="1" applyFont="1" applyFill="1" applyBorder="1" applyAlignment="1">
      <x:alignment vertical="top" wrapText="1"/>
    </x:xf>
    <x:xf numFmtId="0" fontId="8" fillId="2" borderId="1" xfId="0" applyNumberFormat="1" applyFont="1" applyFill="1" applyBorder="1" applyAlignment="1">
      <x:alignment vertical="top" wrapText="1"/>
    </x:xf>
    <x:xf numFmtId="0" fontId="1" fillId="6" borderId="0" xfId="0" applyNumberFormat="1" applyFont="1" applyFill="1" applyBorder="1" applyAlignment="1">
      <x:alignment vertical="top"/>
    </x:xf>
    <x:xf numFmtId="0" fontId="17" fillId="6" borderId="0" xfId="0" applyNumberFormat="1" applyFont="1" applyFill="1" applyBorder="1" applyAlignment="1">
      <x:alignment vertical="top"/>
    </x:xf>
    <x:xf numFmtId="0" fontId="17" fillId="6" borderId="0" xfId="0" applyNumberFormat="1" applyFont="1" applyFill="1" applyBorder="1" applyAlignment="1">
      <x:alignment vertical="top" wrapText="1"/>
    </x:xf>
    <x:xf numFmtId="0" fontId="17" fillId="6" borderId="0" xfId="0" applyNumberFormat="1" applyFont="1" applyFill="1" applyBorder="1" applyAlignment="1">
      <x:alignment vertical="center" wrapText="1"/>
    </x:xf>
    <x:xf numFmtId="0" fontId="1" fillId="6" borderId="1" xfId="0" applyNumberFormat="1" applyFont="1" applyFill="1" applyBorder="1" applyAlignment="1">
      <x:alignment vertical="top"/>
    </x:xf>
    <x:xf numFmtId="0" fontId="17" fillId="6" borderId="1" xfId="0" applyNumberFormat="1" applyFont="1" applyFill="1" applyBorder="1" applyAlignment="1">
      <x:alignment vertical="top"/>
    </x:xf>
    <x:xf numFmtId="0" fontId="17" fillId="6" borderId="1" xfId="0" applyNumberFormat="1" applyFont="1" applyFill="1" applyBorder="1" applyAlignment="1">
      <x:alignment vertical="top" wrapText="1"/>
    </x:xf>
    <x:xf numFmtId="0" fontId="17" fillId="6" borderId="1" xfId="0" applyNumberFormat="1" applyFont="1" applyFill="1" applyBorder="1" applyAlignment="1">
      <x:alignment vertical="center" wrapText="1"/>
    </x:xf>
    <x:xf numFmtId="0" fontId="18" fillId="2" borderId="0" xfId="0" applyNumberFormat="1" applyFont="1" applyFill="1" applyBorder="1" applyAlignment="1">
      <x:alignment vertical="top"/>
    </x:xf>
    <x:xf numFmtId="0" fontId="18" fillId="2" borderId="0" xfId="0" applyNumberFormat="1" applyFont="1" applyFill="1" applyBorder="1" applyAlignment="1">
      <x:alignment vertical="top" wrapText="1"/>
    </x:xf>
    <x:xf numFmtId="0" fontId="18" fillId="2" borderId="0" xfId="0" applyNumberFormat="1" applyFont="1" applyFill="1" applyBorder="1" applyAlignment="1">
      <x:alignment vertical="center" wrapText="1"/>
    </x:xf>
    <x:xf numFmtId="0" fontId="18" fillId="2" borderId="1" xfId="0" applyNumberFormat="1" applyFont="1" applyFill="1" applyBorder="1" applyAlignment="1">
      <x:alignment vertical="top"/>
    </x:xf>
    <x:xf numFmtId="0" fontId="18" fillId="2" borderId="1" xfId="0" applyNumberFormat="1" applyFont="1" applyFill="1" applyBorder="1" applyAlignment="1">
      <x:alignment vertical="top" wrapText="1"/>
    </x:xf>
    <x:xf numFmtId="0" fontId="18" fillId="2" borderId="1" xfId="0" applyNumberFormat="1" applyFont="1" applyFill="1" applyBorder="1" applyAlignment="1">
      <x:alignment vertical="center" wrapText="1"/>
    </x:xf>
    <x:xf numFmtId="200" fontId="1" fillId="0" borderId="0" xfId="0" applyNumberFormat="1" applyFont="1" applyFill="1" applyBorder="1" applyAlignment="1">
      <x:alignment vertical="top"/>
    </x:xf>
    <x:xf numFmtId="200" fontId="1" fillId="0" borderId="1" xfId="0" applyNumberFormat="1" applyFont="1" applyFill="1" applyBorder="1" applyAlignment="1">
      <x:alignment vertical="top"/>
    </x:xf>
    <x:xf numFmtId="200" fontId="1" fillId="0" borderId="0" xfId="0" applyNumberFormat="1" applyFont="1" applyFill="1" applyBorder="1" applyAlignment="1">
      <x:alignment vertical="top" wrapText="1"/>
    </x:xf>
    <x:xf numFmtId="200" fontId="1" fillId="0" borderId="1" xfId="0" applyNumberFormat="1" applyFont="1" applyFill="1" applyBorder="1" applyAlignment="1">
      <x:alignment vertical="top" wrapText="1"/>
    </x:xf>
    <x:xf numFmtId="208" fontId="1" fillId="3" borderId="0" xfId="0" applyNumberFormat="1" applyFont="1" applyFill="1" applyBorder="1" applyAlignment="1">
      <x:alignment vertical="top" wrapText="1"/>
    </x:xf>
    <x:xf numFmtId="208" fontId="1" fillId="3" borderId="1"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1" fillId="2" borderId="1" xfId="0" applyNumberFormat="1" applyFont="1" applyFill="1" applyBorder="1" applyAlignment="1">
      <x:alignment vertical="top" wrapText="1"/>
    </x:xf>
    <x:xf numFmtId="0" fontId="8" fillId="3" borderId="0" xfId="0" applyNumberFormat="1" applyFont="1" applyFill="1" applyBorder="1" applyAlignment="1">
      <x:alignment horizontal="center" vertical="top" wrapText="1"/>
    </x:xf>
    <x:xf numFmtId="0" fontId="8" fillId="3" borderId="1" xfId="0" applyNumberFormat="1" applyFont="1" applyFill="1" applyBorder="1" applyAlignment="1">
      <x:alignment horizontal="center" vertical="top" wrapText="1"/>
    </x:xf>
    <x:xf numFmtId="0" fontId="19" fillId="2" borderId="0" xfId="0" applyNumberFormat="1" applyFont="1" applyFill="1" applyBorder="1" applyAlignment="1">
      <x:alignment vertical="top"/>
    </x:xf>
    <x:xf numFmtId="0" fontId="19" fillId="2" borderId="0" xfId="0" applyNumberFormat="1" applyFont="1" applyFill="1" applyBorder="1" applyAlignment="1">
      <x:alignment vertical="top" wrapText="1"/>
    </x:xf>
    <x:xf numFmtId="0" fontId="19" fillId="2" borderId="0" xfId="0" applyNumberFormat="1" applyFont="1" applyFill="1" applyBorder="1" applyAlignment="1">
      <x:alignment vertical="center" wrapText="1"/>
    </x:xf>
    <x:xf numFmtId="0" fontId="19" fillId="2" borderId="1" xfId="0" applyNumberFormat="1" applyFont="1" applyFill="1" applyBorder="1" applyAlignment="1">
      <x:alignment vertical="top"/>
    </x:xf>
    <x:xf numFmtId="0" fontId="19" fillId="2" borderId="1" xfId="0" applyNumberFormat="1" applyFont="1" applyFill="1" applyBorder="1" applyAlignment="1">
      <x:alignment vertical="top" wrapText="1"/>
    </x:xf>
    <x:xf numFmtId="0" fontId="19" fillId="2" borderId="1" xfId="0" applyNumberFormat="1" applyFont="1" applyFill="1" applyBorder="1" applyAlignment="1">
      <x:alignment vertical="center" wrapText="1"/>
    </x:xf>
  </x:cellXfs>
  <x:cellStyles count="1">
    <x:cellStyle name="Normal" xfId="0"/>
  </x:cellStyles>
  <x:dxfs count="3">
    <x:dxf>
      <x:fill>
        <x:patternFill patternType="solid">
          <x:bgColor rgb="FFFCE8D5"/>
        </x:patternFill>
      </x:fill>
    </x:dxf>
    <x:dxf>
      <x:font>
        <x:b/>
      </x:font>
      <x:fill>
        <x:patternFill patternType="solid">
          <x:bgColor rgb="FFF8D9D9"/>
        </x:patternFill>
      </x:fill>
    </x:dxf>
    <x:dxf>
      <x:font>
        <x:b/>
      </x:font>
      <x:fill>
        <x:patternFill patternType="solid">
          <x:bgColor rgb="FFF8D9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a90b64336dd4ac5" /><Relationship Type="http://schemas.openxmlformats.org/officeDocument/2006/relationships/theme" Target="/xl/theme/theme1.xml" Id="Rc15285db338840c6" /><Relationship Type="http://schemas.openxmlformats.org/officeDocument/2006/relationships/sharedStrings" Target="/xl/sharedStrings.xml" Id="Rb3d92ca2e2b84454" /><Relationship Type="http://schemas.openxmlformats.org/officeDocument/2006/relationships/worksheet" Target="/xl/worksheets/sheet1.xml" Id="Rbf5629de8aa74c92" /><Relationship Type="http://schemas.openxmlformats.org/officeDocument/2006/relationships/worksheet" Target="/xl/worksheets/sheet2.xml" Id="R336fda893b254cfc" /><Relationship Type="http://schemas.openxmlformats.org/officeDocument/2006/relationships/worksheet" Target="/xl/worksheets/sheet3.xml" Id="R7c91d7dc3b3c4681" /><Relationship Type="http://schemas.openxmlformats.org/officeDocument/2006/relationships/worksheet" Target="/xl/worksheets/sheet4.xml" Id="Rb65b3ab1a62a4a78" /><Relationship Type="http://schemas.openxmlformats.org/officeDocument/2006/relationships/worksheet" Target="/xl/worksheets/sheet5.xml" Id="R682c9bcf7db74040" /><Relationship Type="http://schemas.openxmlformats.org/officeDocument/2006/relationships/worksheet" Target="/xl/worksheets/sheet6.xml" Id="Rad6903b4056f4c6f" /><Relationship Type="http://schemas.openxmlformats.org/officeDocument/2006/relationships/worksheet" Target="/xl/worksheets/sheet7.xml" Id="R2ca64d76f038475c" /><Relationship Type="http://schemas.openxmlformats.org/officeDocument/2006/relationships/worksheet" Target="/xl/worksheets/sheet8.xml" Id="Ra2d410ee4b874bcd" /><Relationship Type="http://schemas.openxmlformats.org/officeDocument/2006/relationships/worksheet" Target="/xl/worksheets/sheet9.xml" Id="R001c5ae73cf54e56" /><Relationship Type="http://schemas.openxmlformats.org/officeDocument/2006/relationships/worksheet" Target="/xl/worksheets/sheet10.xml" Id="R28a28528244e4324" /><Relationship Type="http://schemas.openxmlformats.org/officeDocument/2006/relationships/worksheet" Target="/xl/worksheets/sheet11.xml" Id="R7c186269961d41d1" /><Relationship Type="http://schemas.openxmlformats.org/officeDocument/2006/relationships/worksheet" Target="/xl/worksheets/sheet12.xml" Id="R35e761d63eab4d18" /><Relationship Type="http://schemas.openxmlformats.org/officeDocument/2006/relationships/worksheet" Target="/xl/worksheets/sheet13.xml" Id="R97e37dfdd4f5481a" /><Relationship Type="http://schemas.openxmlformats.org/officeDocument/2006/relationships/worksheet" Target="/xl/worksheets/sheet14.xml" Id="R23b8e05943c34228" /><Relationship Type="http://schemas.openxmlformats.org/officeDocument/2006/relationships/worksheet" Target="/xl/worksheets/sheet15.xml" Id="R319fbe2639554983" /><Relationship Type="http://schemas.openxmlformats.org/officeDocument/2006/relationships/worksheet" Target="/xl/worksheets/sheet16.xml" Id="R20458fff3e9d403a" /><Relationship Type="http://schemas.openxmlformats.org/officeDocument/2006/relationships/worksheet" Target="/xl/worksheets/sheet17.xml" Id="Rd8cd494db5074bae" /><Relationship Type="http://schemas.openxmlformats.org/officeDocument/2006/relationships/worksheet" Target="/xl/worksheets/sheet18.xml" Id="R3567265d46f84326" /><Relationship Type="http://schemas.openxmlformats.org/officeDocument/2006/relationships/worksheet" Target="/xl/worksheets/sheet19.xml" Id="Rc931f546ffc741c8" /><Relationship Type="http://schemas.openxmlformats.org/officeDocument/2006/relationships/worksheet" Target="/xl/worksheets/sheet20.xml" Id="Redf36c9c418148a5" /><Relationship Type="http://schemas.openxmlformats.org/officeDocument/2006/relationships/worksheet" Target="/xl/worksheets/sheet21.xml" Id="R8134e46d98c14e7d" /><Relationship Type="http://schemas.openxmlformats.org/officeDocument/2006/relationships/worksheet" Target="/xl/worksheets/sheet22.xml" Id="R4a8e2f3a37474c2b" /><Relationship Type="http://schemas.openxmlformats.org/officeDocument/2006/relationships/worksheet" Target="/xl/worksheets/sheet23.xml" Id="R99fc7a43700e4fa3" /><Relationship Type="http://schemas.openxmlformats.org/officeDocument/2006/relationships/worksheet" Target="/xl/worksheets/sheet24.xml" Id="Rf6707383b022497c" /><Relationship Type="http://schemas.openxmlformats.org/officeDocument/2006/relationships/worksheet" Target="/xl/worksheets/sheet25.xml" Id="R9d21790109874eb8" /><Relationship Type="http://schemas.openxmlformats.org/officeDocument/2006/relationships/worksheet" Target="/xl/worksheets/sheet26.xml" Id="R380d6c2fb8034f2b" /><Relationship Type="http://schemas.openxmlformats.org/officeDocument/2006/relationships/worksheet" Target="/xl/worksheets/sheet27.xml" Id="R32419c659a5f4138" /><Relationship Type="http://schemas.openxmlformats.org/officeDocument/2006/relationships/worksheet" Target="/xl/worksheets/sheet28.xml" Id="Rba23a0a482544c90" /><Relationship Type="http://schemas.openxmlformats.org/officeDocument/2006/relationships/worksheet" Target="/xl/worksheets/sheet29.xml" Id="R33eda5d3a8e54164" /><Relationship Type="http://schemas.openxmlformats.org/officeDocument/2006/relationships/worksheet" Target="/xl/worksheets/sheet30.xml" Id="R3f3c5a11f7144218" /><Relationship Type="http://schemas.openxmlformats.org/officeDocument/2006/relationships/worksheet" Target="/xl/worksheets/sheet31.xml" Id="Ra730c28e3f9a4dc2" /><Relationship Type="http://schemas.openxmlformats.org/officeDocument/2006/relationships/worksheet" Target="/xl/worksheets/sheet32.xml" Id="R04fa78a0b29f4c5f" /><Relationship Type="http://schemas.openxmlformats.org/officeDocument/2006/relationships/worksheet" Target="/xl/worksheets/sheet33.xml" Id="R37110db6493a4566" /><Relationship Type="http://schemas.openxmlformats.org/officeDocument/2006/relationships/worksheet" Target="/xl/worksheets/sheet34.xml" Id="R90098ece5bda42c3" /><Relationship Type="http://schemas.openxmlformats.org/officeDocument/2006/relationships/worksheet" Target="/xl/worksheets/sheet35.xml" Id="R16a613b928924221" /><Relationship Type="http://schemas.openxmlformats.org/officeDocument/2006/relationships/worksheet" Target="/xl/worksheets/sheet36.xml" Id="R7cbc1dabd6804c5a" /><Relationship Type="http://schemas.openxmlformats.org/officeDocument/2006/relationships/worksheet" Target="/xl/worksheets/sheet37.xml" Id="R6b2ce796ee8e4aaa" /><Relationship Type="http://schemas.openxmlformats.org/officeDocument/2006/relationships/worksheet" Target="/xl/worksheets/sheet38.xml" Id="Ra573ff14744b4412" /><Relationship Type="http://schemas.openxmlformats.org/officeDocument/2006/relationships/worksheet" Target="/xl/worksheets/sheet39.xml" Id="R1e1ab4c53f1c40b6" /><Relationship Type="http://schemas.openxmlformats.org/officeDocument/2006/relationships/worksheet" Target="/xl/worksheets/sheet40.xml" Id="R6e10b9738a0c4164" /><Relationship Type="http://schemas.openxmlformats.org/officeDocument/2006/relationships/worksheet" Target="/xl/worksheets/sheet41.xml" Id="R6278ecae5825471e" /><Relationship Type="http://schemas.openxmlformats.org/officeDocument/2006/relationships/worksheet" Target="/xl/worksheets/sheet42.xml" Id="Rbc4e6a2826ea4f23" /><Relationship Type="http://schemas.openxmlformats.org/officeDocument/2006/relationships/worksheet" Target="/xl/worksheets/sheet43.xml" Id="R2886f053e99d4fea" /><Relationship Type="http://schemas.openxmlformats.org/officeDocument/2006/relationships/worksheet" Target="/xl/worksheets/sheet44.xml" Id="Rf4c936a42c18432f" /><Relationship Type="http://schemas.openxmlformats.org/officeDocument/2006/relationships/worksheet" Target="/xl/worksheets/sheet45.xml" Id="Rbb3c7dbff46747be" /><Relationship Type="http://schemas.openxmlformats.org/officeDocument/2006/relationships/worksheet" Target="/xl/worksheets/sheet46.xml" Id="R92ea958d2eaa442e" /><Relationship Type="http://schemas.openxmlformats.org/officeDocument/2006/relationships/worksheet" Target="/xl/worksheets/sheet47.xml" Id="R5bdea13b9c6446fa" /><Relationship Type="http://schemas.openxmlformats.org/officeDocument/2006/relationships/worksheet" Target="/xl/worksheets/sheet48.xml" Id="Rc65fa447188c4f55" /><Relationship Type="http://schemas.openxmlformats.org/officeDocument/2006/relationships/worksheet" Target="/xl/worksheets/sheet49.xml" Id="R11e4d4cfb6494f76" /><Relationship Type="http://schemas.openxmlformats.org/officeDocument/2006/relationships/worksheet" Target="/xl/worksheets/sheet50.xml" Id="R05e6c8e35eeb42d1" /><Relationship Type="http://schemas.openxmlformats.org/officeDocument/2006/relationships/worksheet" Target="/xl/worksheets/sheet51.xml" Id="Rb1c7472d4b8d4f6c" /><Relationship Type="http://schemas.openxmlformats.org/officeDocument/2006/relationships/worksheet" Target="/xl/worksheets/sheet52.xml" Id="R8896e3ce72c14c0f" /><Relationship Type="http://schemas.openxmlformats.org/officeDocument/2006/relationships/worksheet" Target="/xl/worksheets/sheet53.xml" Id="Rb34a564d8c03479e" /><Relationship Type="http://schemas.openxmlformats.org/officeDocument/2006/relationships/worksheet" Target="/xl/worksheets/sheet54.xml" Id="R83e0b80c6a734d53" /><Relationship Type="http://schemas.openxmlformats.org/officeDocument/2006/relationships/worksheet" Target="/xl/worksheets/sheet55.xml" Id="R326717755e1548d8" /><Relationship Type="http://schemas.openxmlformats.org/officeDocument/2006/relationships/worksheet" Target="/xl/worksheets/sheet56.xml" Id="Rf67388aa52fa4e6d" /><Relationship Type="http://schemas.openxmlformats.org/officeDocument/2006/relationships/worksheet" Target="/xl/worksheets/sheet57.xml" Id="R3247c738d0ee44b7" /><Relationship Type="http://schemas.openxmlformats.org/officeDocument/2006/relationships/worksheet" Target="/xl/worksheets/sheet58.xml" Id="R6dfc37988c384435" /><Relationship Type="http://schemas.openxmlformats.org/officeDocument/2006/relationships/worksheet" Target="/xl/worksheets/sheet59.xml" Id="R15242d98b7e3431b" /><Relationship Type="http://schemas.openxmlformats.org/officeDocument/2006/relationships/worksheet" Target="/xl/worksheets/sheet60.xml" Id="Ra3df96382be044c8" /><Relationship Type="http://schemas.openxmlformats.org/officeDocument/2006/relationships/worksheet" Target="/xl/worksheets/sheet61.xml" Id="R82f1d442d4414a71" /><Relationship Type="http://schemas.openxmlformats.org/officeDocument/2006/relationships/worksheet" Target="/xl/worksheets/sheet62.xml" Id="Rd13eb20b52be4b1f" /><Relationship Type="http://schemas.openxmlformats.org/officeDocument/2006/relationships/worksheet" Target="/xl/worksheets/sheet63.xml" Id="Rdd3a27949b834ddb" /><Relationship Type="http://schemas.openxmlformats.org/officeDocument/2006/relationships/worksheet" Target="/xl/worksheets/sheet64.xml" Id="Rdf3dac0cdc5240a9" /><Relationship Type="http://schemas.openxmlformats.org/officeDocument/2006/relationships/worksheet" Target="/xl/worksheets/sheet65.xml" Id="Red86de2c5b8d4d35" /><Relationship Type="http://schemas.openxmlformats.org/officeDocument/2006/relationships/worksheet" Target="/xl/worksheets/sheet66.xml" Id="Rf02a5a1d426b499d" /><Relationship Type="http://schemas.openxmlformats.org/officeDocument/2006/relationships/worksheet" Target="/xl/worksheets/sheet67.xml" Id="R07d2e289f8e84486" /><Relationship Type="http://schemas.openxmlformats.org/officeDocument/2006/relationships/worksheet" Target="/xl/worksheets/sheet68.xml" Id="R7b5432a132bd4641" /><Relationship Type="http://schemas.openxmlformats.org/officeDocument/2006/relationships/worksheet" Target="/xl/worksheets/sheet69.xml" Id="R1af5357662cc4932" /><Relationship Type="http://schemas.openxmlformats.org/officeDocument/2006/relationships/worksheet" Target="/xl/worksheets/sheet70.xml" Id="Re362a86deeae4f4c" /><Relationship Type="http://schemas.openxmlformats.org/officeDocument/2006/relationships/worksheet" Target="/xl/worksheets/sheet71.xml" Id="R11fcdc1660e242c2" /><Relationship Type="http://schemas.openxmlformats.org/officeDocument/2006/relationships/worksheet" Target="/xl/worksheets/sheet72.xml" Id="Rb7a29425ece84e33" /><Relationship Type="http://schemas.openxmlformats.org/officeDocument/2006/relationships/worksheet" Target="/xl/worksheets/sheet73.xml" Id="R113bff84b18c45b5" /><Relationship Type="http://schemas.openxmlformats.org/officeDocument/2006/relationships/worksheet" Target="/xl/worksheets/sheet74.xml" Id="R2d6d3107db4f4173" /><Relationship Type="http://schemas.openxmlformats.org/officeDocument/2006/relationships/worksheet" Target="/xl/worksheets/sheet75.xml" Id="Re1d0edd1f56e47db" /><Relationship Type="http://schemas.openxmlformats.org/officeDocument/2006/relationships/worksheet" Target="/xl/worksheets/sheet76.xml" Id="Rd9955c97840c49ee" /><Relationship Type="http://schemas.openxmlformats.org/officeDocument/2006/relationships/worksheet" Target="/xl/worksheets/sheet77.xml" Id="Rcff98aa86a4e4418" /><Relationship Type="http://schemas.openxmlformats.org/officeDocument/2006/relationships/worksheet" Target="/xl/worksheets/sheet78.xml" Id="R0cdd11f070ba488f" /><Relationship Type="http://schemas.openxmlformats.org/officeDocument/2006/relationships/worksheet" Target="/xl/worksheets/sheet79.xml" Id="R8e5a0512cc174501" /><Relationship Type="http://schemas.openxmlformats.org/officeDocument/2006/relationships/worksheet" Target="/xl/worksheets/sheet80.xml" Id="R33d1027fc66b418b" /><Relationship Type="http://schemas.openxmlformats.org/officeDocument/2006/relationships/worksheet" Target="/xl/worksheets/sheet81.xml" Id="R957f38c8282c4276" /><Relationship Type="http://schemas.openxmlformats.org/officeDocument/2006/relationships/worksheet" Target="/xl/worksheets/sheet82.xml" Id="R5087e415c70d4970" /><Relationship Type="http://schemas.openxmlformats.org/officeDocument/2006/relationships/worksheet" Target="/xl/worksheets/sheet83.xml" Id="R6b5e7127d7a346db" /><Relationship Type="http://schemas.openxmlformats.org/officeDocument/2006/relationships/worksheet" Target="/xl/worksheets/sheet84.xml" Id="Rb28f304d2dc04073" /><Relationship Type="http://schemas.openxmlformats.org/officeDocument/2006/relationships/worksheet" Target="/xl/worksheets/sheet85.xml" Id="Rc7dd7cf8a434432b" /><Relationship Type="http://schemas.openxmlformats.org/officeDocument/2006/relationships/worksheet" Target="/xl/worksheets/sheet86.xml" Id="Rfe90655cd3ea4577" /><Relationship Type="http://schemas.openxmlformats.org/officeDocument/2006/relationships/worksheet" Target="/xl/worksheets/sheet87.xml" Id="R9612923acdfb42e8" /><Relationship Type="http://schemas.openxmlformats.org/officeDocument/2006/relationships/worksheet" Target="/xl/worksheets/sheet88.xml" Id="R3dd83fa591624e1c" /><Relationship Type="http://schemas.openxmlformats.org/officeDocument/2006/relationships/worksheet" Target="/xl/worksheets/sheet89.xml" Id="R47c6f17a07004049" /></Relationships>
</file>

<file path=xl/drawings/_rels/drawing1.xml.rels>&#65279;<?xml version="1.0" encoding="utf-8"?><Relationships xmlns="http://schemas.openxmlformats.org/package/2006/relationships"><Relationship Type="http://schemas.openxmlformats.org/officeDocument/2006/relationships/chart" Target="/xl/drawings/charts/chart1.xml" Id="R122238775c224876" /></Relationships>
</file>

<file path=xl/drawings/_rels/drawing2.xml.rels>&#65279;<?xml version="1.0" encoding="utf-8"?><Relationships xmlns="http://schemas.openxmlformats.org/package/2006/relationships"><Relationship Type="http://schemas.openxmlformats.org/officeDocument/2006/relationships/chart" Target="/xl/drawings/charts/chart2.xml" Id="R5d5938cb53554bf1" /></Relationships>
</file>

<file path=xl/drawings/_rels/drawing3.xml.rels>&#65279;<?xml version="1.0" encoding="utf-8"?><Relationships xmlns="http://schemas.openxmlformats.org/package/2006/relationships"><Relationship Type="http://schemas.openxmlformats.org/officeDocument/2006/relationships/chart" Target="/xl/drawings/charts/chart3.xml" Id="R256d567fa8ff4c66" /></Relationships>
</file>

<file path=xl/drawings/_rels/drawing4.xml.rels>&#65279;<?xml version="1.0" encoding="utf-8"?><Relationships xmlns="http://schemas.openxmlformats.org/package/2006/relationships"><Relationship Type="http://schemas.openxmlformats.org/officeDocument/2006/relationships/chart" Target="/xl/drawings/charts/chart4.xml" Id="R86f45afe0d364246" /></Relationships>
</file>

<file path=xl/drawings/_rels/drawing5.xml.rels>&#65279;<?xml version="1.0" encoding="utf-8"?><Relationships xmlns="http://schemas.openxmlformats.org/package/2006/relationships"><Relationship Type="http://schemas.openxmlformats.org/officeDocument/2006/relationships/chart" Target="/xl/drawings/charts/chart5.xml" Id="Rbf6bf8a5fe1e429f" /><Relationship Type="http://schemas.openxmlformats.org/officeDocument/2006/relationships/chart" Target="/xl/drawings/charts/chart6.xml" Id="R75187b0a5e5b4dac" /></Relationships>
</file>

<file path=xl/drawings/_rels/drawing6.xml.rels>&#65279;<?xml version="1.0" encoding="utf-8"?><Relationships xmlns="http://schemas.openxmlformats.org/package/2006/relationships"><Relationship Type="http://schemas.openxmlformats.org/officeDocument/2006/relationships/chart" Target="/xl/drawings/charts/chart7.xml" Id="R0f0cc1acec1f466b" /></Relationships>
</file>

<file path=xl/drawings/_rels/drawing7.xml.rels>&#65279;<?xml version="1.0" encoding="utf-8"?><Relationships xmlns="http://schemas.openxmlformats.org/package/2006/relationships"><Relationship Type="http://schemas.openxmlformats.org/officeDocument/2006/relationships/chart" Target="/xl/drawings/charts/chart8.xml" Id="R3c1f8a00d2664b02" /></Relationships>
</file>

<file path=xl/drawings/_rels/drawing8.xml.rels>&#65279;<?xml version="1.0" encoding="utf-8"?><Relationships xmlns="http://schemas.openxmlformats.org/package/2006/relationships"><Relationship Type="http://schemas.openxmlformats.org/officeDocument/2006/relationships/chart" Target="/xl/drawings/charts/chart9.xml" Id="R94b5a742105a40d1" /></Relationships>
</file>

<file path=xl/drawings/_rels/drawing9.xml.rels>&#65279;<?xml version="1.0" encoding="utf-8"?><Relationships xmlns="http://schemas.openxmlformats.org/package/2006/relationships"><Relationship Type="http://schemas.openxmlformats.org/officeDocument/2006/relationships/chart" Target="/xl/drawings/charts/chart10.xml" Id="R92a45b94fa4b42bf"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Live selected-phase proportions</a:t>
            </a:r>
          </a:p>
        </c:rich>
      </c:tx>
      <c:overlay val="0"/>
    </c:title>
    <c:plotArea>
      <c:barChart>
        <c:barDir val="col"/>
        <c:varyColors val="0"/>
        <c:ser>
          <c:idx val="0"/>
          <c:order val="0"/>
          <c:tx>
            <c:v>Proportion</c:v>
          </c:tx>
          <c:cat>
            <c:strRef>
              <c:f>'03 Dashboard'!$E$17:$E$18</c:f>
              <c:strCache>
                <c:ptCount val="0"/>
              </c:strCache>
            </c:strRef>
          </c:cat>
          <c:val>
            <c:numRef>
              <c:f>'03 Dashboard'!$F$17:$F$18</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Run chart - values, baseline median and optional target</a:t>
            </a:r>
          </a:p>
        </c:rich>
      </c:tx>
      <c:overlay val="0"/>
    </c:title>
    <c:plotArea>
      <c:lineChart>
        <c:grouping val="standard"/>
        <c:varyColors val="0"/>
        <c:ser>
          <c:idx val="0"/>
          <c:order val="0"/>
          <c:tx>
            <c:v>Value</c:v>
          </c:tx>
          <c:marker>
            <c:symbol val="none"/>
          </c:marker>
          <c:cat>
            <c:strRef>
              <c:f>'S03 Run Chart'!$A$10:$A$89</c:f>
              <c:strCache>
                <c:ptCount val="0"/>
              </c:strCache>
            </c:strRef>
          </c:cat>
          <c:val>
            <c:numRef>
              <c:f>'S03 Run Chart'!$B$10:$B$89</c:f>
              <c:numCache>
                <c:formatCode>0.00</c:formatCode>
                <c:ptCount val="0"/>
              </c:numCache>
            </c:numRef>
          </c:val>
          <c:smooth val="0"/>
        </c:ser>
        <c:ser>
          <c:idx val="1"/>
          <c:order val="1"/>
          <c:tx>
            <c:v>Baseline median</c:v>
          </c:tx>
          <c:marker>
            <c:symbol val="none"/>
          </c:marker>
          <c:cat>
            <c:strRef>
              <c:f>'S03 Run Chart'!$A$10:$A$89</c:f>
              <c:strCache>
                <c:ptCount val="0"/>
              </c:strCache>
            </c:strRef>
          </c:cat>
          <c:val>
            <c:numRef>
              <c:f>'S03 Run Chart'!$C$10:$C$89</c:f>
              <c:numCache>
                <c:formatCode>0.00</c:formatCode>
                <c:ptCount val="0"/>
              </c:numCache>
            </c:numRef>
          </c:val>
          <c:smooth val="0"/>
        </c:ser>
        <c:ser>
          <c:idx val="2"/>
          <c:order val="2"/>
          <c:tx>
            <c:v>Target</c:v>
          </c:tx>
          <c:marker>
            <c:symbol val="none"/>
          </c:marker>
          <c:cat>
            <c:strRef>
              <c:f>'S03 Run Chart'!$A$10:$A$89</c:f>
              <c:strCache>
                <c:ptCount val="0"/>
              </c:strCache>
            </c:strRef>
          </c:cat>
          <c:val>
            <c:numRef>
              <c:f>'S03 Run Chart'!$D$10:$D$89</c:f>
              <c:numCache>
                <c:formatCode>0.00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Individuals - basic point-beyond-limit screen</a:t>
            </a:r>
          </a:p>
        </c:rich>
      </c:tx>
      <c:overlay val="0"/>
    </c:title>
    <c:plotArea>
      <c:lineChart>
        <c:grouping val="standard"/>
        <c:varyColors val="0"/>
        <c:ser>
          <c:idx val="0"/>
          <c:order val="0"/>
          <c:tx>
            <c:v>Observation</c:v>
          </c:tx>
          <c:marker>
            <c:symbol val="none"/>
          </c:marker>
          <c:cat>
            <c:strRef>
              <c:f>'S04 I-MR'!$A$10:$A$69</c:f>
              <c:strCache>
                <c:ptCount val="0"/>
              </c:strCache>
            </c:strRef>
          </c:cat>
          <c:val>
            <c:numRef>
              <c:f>'S04 I-MR'!$B$10:$B$69</c:f>
              <c:numCache>
                <c:formatCode>0.000</c:formatCode>
                <c:ptCount val="0"/>
              </c:numCache>
            </c:numRef>
          </c:val>
          <c:smooth val="0"/>
        </c:ser>
        <c:ser>
          <c:idx val="1"/>
          <c:order val="1"/>
          <c:tx>
            <c:v>Centre</c:v>
          </c:tx>
          <c:marker>
            <c:symbol val="none"/>
          </c:marker>
          <c:cat>
            <c:strRef>
              <c:f>'S04 I-MR'!$A$10:$A$69</c:f>
              <c:strCache>
                <c:ptCount val="0"/>
              </c:strCache>
            </c:strRef>
          </c:cat>
          <c:val>
            <c:numRef>
              <c:f>'S04 I-MR'!$D$10:$D$69</c:f>
              <c:numCache>
                <c:formatCode>General</c:formatCode>
                <c:ptCount val="0"/>
              </c:numCache>
            </c:numRef>
          </c:val>
          <c:smooth val="0"/>
        </c:ser>
        <c:ser>
          <c:idx val="2"/>
          <c:order val="2"/>
          <c:tx>
            <c:v>LCL</c:v>
          </c:tx>
          <c:marker>
            <c:symbol val="none"/>
          </c:marker>
          <c:cat>
            <c:strRef>
              <c:f>'S04 I-MR'!$A$10:$A$69</c:f>
              <c:strCache>
                <c:ptCount val="0"/>
              </c:strCache>
            </c:strRef>
          </c:cat>
          <c:val>
            <c:numRef>
              <c:f>'S04 I-MR'!$E$10:$E$69</c:f>
              <c:numCache>
                <c:formatCode>General</c:formatCode>
                <c:ptCount val="0"/>
              </c:numCache>
            </c:numRef>
          </c:val>
          <c:smooth val="0"/>
        </c:ser>
        <c:ser>
          <c:idx val="3"/>
          <c:order val="3"/>
          <c:tx>
            <c:v>UCL</c:v>
          </c:tx>
          <c:marker>
            <c:symbol val="none"/>
          </c:marker>
          <c:cat>
            <c:strRef>
              <c:f>'S04 I-MR'!$A$10:$A$69</c:f>
              <c:strCache>
                <c:ptCount val="0"/>
              </c:strCache>
            </c:strRef>
          </c:cat>
          <c:val>
            <c:numRef>
              <c:f>'S04 I-MR'!$F$10:$F$69</c:f>
              <c:numCache>
                <c:formatCode>General</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p chart: observed proportion and variable-n limits</a:t>
            </a:r>
          </a:p>
        </c:rich>
      </c:tx>
      <c:overlay val="0"/>
    </c:title>
    <c:plotArea>
      <c:lineChart>
        <c:grouping val="standard"/>
        <c:varyColors val="0"/>
        <c:ser>
          <c:idx val="0"/>
          <c:order val="0"/>
          <c:tx>
            <c:v>Observed p</c:v>
          </c:tx>
          <c:marker>
            <c:symbol val="none"/>
          </c:marker>
          <c:cat>
            <c:strRef>
              <c:f>'S05 p Chart'!$A$10:$A$69</c:f>
              <c:strCache>
                <c:ptCount val="0"/>
              </c:strCache>
            </c:strRef>
          </c:cat>
          <c:val>
            <c:numRef>
              <c:f>'S05 p Chart'!$D$10:$D$69</c:f>
              <c:numCache>
                <c:formatCode>0%</c:formatCode>
                <c:ptCount val="0"/>
              </c:numCache>
            </c:numRef>
          </c:val>
          <c:smooth val="0"/>
        </c:ser>
        <c:ser>
          <c:idx val="1"/>
          <c:order val="1"/>
          <c:tx>
            <c:v>Baseline p</c:v>
          </c:tx>
          <c:marker>
            <c:symbol val="none"/>
          </c:marker>
          <c:cat>
            <c:strRef>
              <c:f>'S05 p Chart'!$A$10:$A$69</c:f>
              <c:strCache>
                <c:ptCount val="0"/>
              </c:strCache>
            </c:strRef>
          </c:cat>
          <c:val>
            <c:numRef>
              <c:f>'S05 p Chart'!$E$10:$E$69</c:f>
              <c:numCache>
                <c:formatCode>0%</c:formatCode>
                <c:ptCount val="0"/>
              </c:numCache>
            </c:numRef>
          </c:val>
          <c:smooth val="0"/>
        </c:ser>
        <c:ser>
          <c:idx val="2"/>
          <c:order val="2"/>
          <c:tx>
            <c:v>LCL</c:v>
          </c:tx>
          <c:marker>
            <c:symbol val="none"/>
          </c:marker>
          <c:cat>
            <c:strRef>
              <c:f>'S05 p Chart'!$A$10:$A$69</c:f>
              <c:strCache>
                <c:ptCount val="0"/>
              </c:strCache>
            </c:strRef>
          </c:cat>
          <c:val>
            <c:numRef>
              <c:f>'S05 p Chart'!$F$10:$F$69</c:f>
              <c:numCache>
                <c:formatCode>0%</c:formatCode>
                <c:ptCount val="0"/>
              </c:numCache>
            </c:numRef>
          </c:val>
          <c:smooth val="0"/>
        </c:ser>
        <c:ser>
          <c:idx val="3"/>
          <c:order val="3"/>
          <c:tx>
            <c:v>UCL</c:v>
          </c:tx>
          <c:marker>
            <c:symbol val="none"/>
          </c:marker>
          <c:cat>
            <c:strRef>
              <c:f>'S05 p Chart'!$A$10:$A$69</c:f>
              <c:strCache>
                <c:ptCount val="0"/>
              </c:strCache>
            </c:strRef>
          </c:cat>
          <c:val>
            <c:numRef>
              <c:f>'S05 p Chart'!$G$10:$G$69</c:f>
              <c:numCache>
                <c:formatCode>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5.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Pareto: descending compatible counts</a:t>
            </a:r>
          </a:p>
        </c:rich>
      </c:tx>
      <c:overlay val="0"/>
    </c:title>
    <c:plotArea>
      <c:barChart>
        <c:barDir val="col"/>
        <c:varyColors val="0"/>
        <c:ser>
          <c:idx val="0"/>
          <c:order val="0"/>
          <c:tx>
            <c:v>Count</c:v>
          </c:tx>
          <c:cat>
            <c:strRef>
              <c:f>'S06 Pareto'!$F$10:$F$29</c:f>
              <c:strCache>
                <c:ptCount val="0"/>
              </c:strCache>
            </c:strRef>
          </c:cat>
          <c:val>
            <c:numRef>
              <c:f>'S06 Pareto'!$G$10:$G$29</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6.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Cumulative share: inspect the actual distribution</a:t>
            </a:r>
          </a:p>
        </c:rich>
      </c:tx>
      <c:overlay val="0"/>
    </c:title>
    <c:plotArea>
      <c:lineChart>
        <c:grouping val="standard"/>
        <c:varyColors val="0"/>
        <c:ser>
          <c:idx val="0"/>
          <c:order val="0"/>
          <c:tx>
            <c:v>Cumulative share</c:v>
          </c:tx>
          <c:marker>
            <c:symbol val="none"/>
          </c:marker>
          <c:cat>
            <c:strRef>
              <c:f>'S06 Pareto'!$F$10:$F$29</c:f>
              <c:strCache>
                <c:ptCount val="0"/>
              </c:strCache>
            </c:strRef>
          </c:cat>
          <c:val>
            <c:numRef>
              <c:f>'S06 Pareto'!$I$10:$I$29</c:f>
              <c:numCache>
                <c:formatCode>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7.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Histogram: declared non-overlapping intervals</a:t>
            </a:r>
          </a:p>
        </c:rich>
      </c:tx>
      <c:overlay val="0"/>
    </c:title>
    <c:plotArea>
      <c:barChart>
        <c:barDir val="col"/>
        <c:varyColors val="0"/>
        <c:ser>
          <c:idx val="0"/>
          <c:order val="0"/>
          <c:tx>
            <c:v>Frequency</c:v>
          </c:tx>
          <c:cat>
            <c:strRef>
              <c:f>'S07 Histogram'!$G$10:$G$15</c:f>
              <c:strCache>
                <c:ptCount val="0"/>
              </c:strCache>
            </c:strRef>
          </c:cat>
          <c:val>
            <c:numRef>
              <c:f>'S07 Histogram'!$F$10:$F$15</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8.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Touch-time composition - not elapsed-time share</a:t>
            </a:r>
          </a:p>
        </c:rich>
      </c:tx>
      <c:overlay val="0"/>
    </c:title>
    <c:plotArea>
      <c:doughnutChart>
        <c:ser>
          <c:idx val="0"/>
          <c:order val="0"/>
          <c:tx>
            <c:v>Minutes</c:v>
          </c:tx>
          <c:cat>
            <c:strRef>
              <c:f>'M06 Value Time'!$J$11:$J$13</c:f>
              <c:strCache>
                <c:ptCount val="0"/>
              </c:strCache>
            </c:strRef>
          </c:cat>
          <c:val>
            <c:numRef>
              <c:f>'M06 Value Time'!$K$11:$K$13</c:f>
              <c:numCache>
                <c:formatCode>General</c:formatCode>
                <c:ptCount val="0"/>
              </c:numCache>
            </c:numRef>
          </c:val>
        </c:ser>
      </c:doughnutChart>
    </c:plotArea>
    <c:legend>
      <c:legendPos val="b"/>
      <c:overlay val="0"/>
    </c:legend>
    <c:plotVisOnly val="1"/>
  </c:chart>
  <c:spPr>
    <a:ln xmlns:a="http://schemas.openxmlformats.org/drawingml/2006/main" w="9525">
      <a:solidFill>
        <a:srgbClr val="D9D9D9"/>
      </a:solidFill>
      <a:prstDash val="solid"/>
    </a:ln>
  </c:spPr>
</c:chartSpace>
</file>

<file path=xl/drawings/charts/chart9.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Work content by role and takt reference</a:t>
            </a:r>
          </a:p>
        </c:rich>
      </c:tx>
      <c:overlay val="0"/>
    </c:title>
    <c:plotArea>
      <c:barChart>
        <c:barDir val="col"/>
        <c:varyColors val="0"/>
        <c:ser>
          <c:idx val="0"/>
          <c:order val="0"/>
          <c:tx>
            <c:v>Total minutes</c:v>
          </c:tx>
          <c:cat>
            <c:strRef>
              <c:f>'F07 Work Balance'!$H$10:$H$19</c:f>
              <c:strCache>
                <c:ptCount val="0"/>
              </c:strCache>
            </c:strRef>
          </c:cat>
          <c:val>
            <c:numRef>
              <c:f>'F07 Work Balance'!$I$10:$I$19</c:f>
              <c:numCache>
                <c:formatCode>General</c:formatCode>
                <c:ptCount val="0"/>
              </c:numCache>
            </c:numRef>
          </c:val>
        </c:ser>
        <c:ser>
          <c:idx val="1"/>
          <c:order val="1"/>
          <c:tx>
            <c:v>Takt reference</c:v>
          </c:tx>
          <c:cat>
            <c:strRef>
              <c:f>'F07 Work Balance'!$H$10:$H$19</c:f>
              <c:strCache>
                <c:ptCount val="0"/>
              </c:strCache>
            </c:strRef>
          </c:cat>
          <c:val>
            <c:numRef>
              <c:f>'F07 Work Balance'!$J$10:$J$19</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10.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Project FLOW: timely and first-pass rates</a:t>
            </a:r>
          </a:p>
        </c:rich>
      </c:tx>
      <c:overlay val="0"/>
    </c:title>
    <c:plotArea>
      <c:barChart>
        <c:barDir val="col"/>
        <c:grouping val="clustered"/>
        <c:varyColors val="0"/>
        <c:ser>
          <c:idx val="0"/>
          <c:order val="0"/>
          <c:tx>
            <c:v>Within 24 hours</c:v>
          </c:tx>
          <c:cat>
            <c:strRef>
              <c:f>'EX Worked Calculations'!$A$12:$A$15</c:f>
              <c:strCache>
                <c:ptCount val="0"/>
              </c:strCache>
            </c:strRef>
          </c:cat>
          <c:val>
            <c:numRef>
              <c:f>'EX Worked Calculations'!$E$12:$E$15</c:f>
              <c:numCache>
                <c:formatCode>0%</c:formatCode>
                <c:ptCount val="0"/>
              </c:numCache>
            </c:numRef>
          </c:val>
        </c:ser>
        <c:ser>
          <c:idx val="1"/>
          <c:order val="1"/>
          <c:tx>
            <c:v>First-pass correct</c:v>
          </c:tx>
          <c:cat>
            <c:strRef>
              <c:f>'EX Worked Calculations'!$A$12:$A$15</c:f>
              <c:strCache>
                <c:ptCount val="0"/>
              </c:strCache>
            </c:strRef>
          </c:cat>
          <c:val>
            <c:numRef>
              <c:f>'EX Worked Calculations'!$G$12:$G$15</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29</xdr:row>
      <xdr:rowOff>0</xdr:rowOff>
    </xdr:from>
    <xdr:to>
      <xdr:col>4</xdr:col>
      <xdr:colOff>0</xdr:colOff>
      <xdr:row>47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22238775c224876"/>
        </a:graphicData>
      </a:graphic>
    </xdr:graphicFrame>
    <xdr:clientData/>
  </xdr:twoCellAnchor>
</xdr:wsDr>
</file>

<file path=xl/drawings/drawing2.xml><?xml version="1.0" encoding="utf-8"?>
<xdr:wsDr xmlns:xdr="http://schemas.openxmlformats.org/drawingml/2006/spreadsheetDrawing">
  <xdr:twoCellAnchor>
    <xdr:from>
      <xdr:col>0</xdr:col>
      <xdr:colOff>0</xdr:colOff>
      <xdr:row>91</xdr:row>
      <xdr:rowOff>0</xdr:rowOff>
    </xdr:from>
    <xdr:to>
      <xdr:col>12</xdr:col>
      <xdr:colOff>0</xdr:colOff>
      <xdr:row>107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d5938cb53554bf1"/>
        </a:graphicData>
      </a:graphic>
    </xdr:graphicFrame>
    <xdr:clientData/>
  </xdr:twoCellAnchor>
</xdr:wsDr>
</file>

<file path=xl/drawings/drawing3.xml><?xml version="1.0" encoding="utf-8"?>
<xdr:wsDr xmlns:xdr="http://schemas.openxmlformats.org/drawingml/2006/spreadsheetDrawing">
  <xdr:twoCellAnchor>
    <xdr:from>
      <xdr:col>0</xdr:col>
      <xdr:colOff>0</xdr:colOff>
      <xdr:row>72</xdr:row>
      <xdr:rowOff>0</xdr:rowOff>
    </xdr:from>
    <xdr:to>
      <xdr:col>12</xdr:col>
      <xdr:colOff>0</xdr:colOff>
      <xdr:row>89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56d567fa8ff4c66"/>
        </a:graphicData>
      </a:graphic>
    </xdr:graphicFrame>
    <xdr:clientData/>
  </xdr:twoCellAnchor>
</xdr:wsDr>
</file>

<file path=xl/drawings/drawing4.xml><?xml version="1.0" encoding="utf-8"?>
<xdr:wsDr xmlns:xdr="http://schemas.openxmlformats.org/drawingml/2006/spreadsheetDrawing">
  <xdr:twoCellAnchor>
    <xdr:from>
      <xdr:col>0</xdr:col>
      <xdr:colOff>0</xdr:colOff>
      <xdr:row>72</xdr:row>
      <xdr:rowOff>0</xdr:rowOff>
    </xdr:from>
    <xdr:to>
      <xdr:col>12</xdr:col>
      <xdr:colOff>0</xdr:colOff>
      <xdr:row>89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86f45afe0d364246"/>
        </a:graphicData>
      </a:graphic>
    </xdr:graphicFrame>
    <xdr:clientData/>
  </xdr:twoCellAnchor>
</xdr:wsDr>
</file>

<file path=xl/drawings/drawing5.xml><?xml version="1.0" encoding="utf-8"?>
<xdr:wsDr xmlns:xdr="http://schemas.openxmlformats.org/drawingml/2006/spreadsheetDrawing">
  <xdr:twoCellAnchor>
    <xdr:from>
      <xdr:col>0</xdr:col>
      <xdr:colOff>0</xdr:colOff>
      <xdr:row>38</xdr:row>
      <xdr:rowOff>0</xdr:rowOff>
    </xdr:from>
    <xdr:to>
      <xdr:col>12</xdr:col>
      <xdr:colOff>0</xdr:colOff>
      <xdr:row>56</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f6bf8a5fe1e429f"/>
        </a:graphicData>
      </a:graphic>
    </xdr:graphicFrame>
    <xdr:clientData/>
  </xdr:twoCellAnchor>
  <xdr:twoCellAnchor>
    <xdr:from>
      <xdr:col>0</xdr:col>
      <xdr:colOff>0</xdr:colOff>
      <xdr:row>58</xdr:row>
      <xdr:rowOff>0</xdr:rowOff>
    </xdr:from>
    <xdr:to>
      <xdr:col>12</xdr:col>
      <xdr:colOff>0</xdr:colOff>
      <xdr:row>76</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75187b0a5e5b4dac"/>
        </a:graphicData>
      </a:graphic>
    </xdr:graphicFrame>
    <xdr:clientData/>
  </xdr:twoCellAnchor>
</xdr:wsDr>
</file>

<file path=xl/drawings/drawing6.xml><?xml version="1.0" encoding="utf-8"?>
<xdr:wsDr xmlns:xdr="http://schemas.openxmlformats.org/drawingml/2006/spreadsheetDrawing">
  <xdr:twoCellAnchor>
    <xdr:from>
      <xdr:col>0</xdr:col>
      <xdr:colOff>0</xdr:colOff>
      <xdr:row>79</xdr:row>
      <xdr:rowOff>0</xdr:rowOff>
    </xdr:from>
    <xdr:to>
      <xdr:col>12</xdr:col>
      <xdr:colOff>0</xdr:colOff>
      <xdr:row>97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0f0cc1acec1f466b"/>
        </a:graphicData>
      </a:graphic>
    </xdr:graphicFrame>
    <xdr:clientData/>
  </xdr:twoCellAnchor>
</xdr:wsDr>
</file>

<file path=xl/drawings/drawing7.xml><?xml version="1.0" encoding="utf-8"?>
<xdr:wsDr xmlns:xdr="http://schemas.openxmlformats.org/drawingml/2006/spreadsheetDrawing">
  <xdr:twoCellAnchor>
    <xdr:from>
      <xdr:col>0</xdr:col>
      <xdr:colOff>0</xdr:colOff>
      <xdr:row>34</xdr:row>
      <xdr:rowOff>0</xdr:rowOff>
    </xdr:from>
    <xdr:to>
      <xdr:col>12</xdr:col>
      <xdr:colOff>0</xdr:colOff>
      <xdr:row>55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3c1f8a00d2664b02"/>
        </a:graphicData>
      </a:graphic>
    </xdr:graphicFrame>
    <xdr:clientData/>
  </xdr:twoCellAnchor>
</xdr:wsDr>
</file>

<file path=xl/drawings/drawing8.xml><?xml version="1.0" encoding="utf-8"?>
<xdr:wsDr xmlns:xdr="http://schemas.openxmlformats.org/drawingml/2006/spreadsheetDrawing">
  <xdr:twoCellAnchor>
    <xdr:from>
      <xdr:col>0</xdr:col>
      <xdr:colOff>0</xdr:colOff>
      <xdr:row>50</xdr:row>
      <xdr:rowOff>0</xdr:rowOff>
    </xdr:from>
    <xdr:to>
      <xdr:col>12</xdr:col>
      <xdr:colOff>0</xdr:colOff>
      <xdr:row>71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4b5a742105a40d1"/>
        </a:graphicData>
      </a:graphic>
    </xdr:graphicFrame>
    <xdr:clientData/>
  </xdr:twoCellAnchor>
</xdr:wsDr>
</file>

<file path=xl/drawings/drawing9.xml><?xml version="1.0" encoding="utf-8"?>
<xdr:wsDr xmlns:xdr="http://schemas.openxmlformats.org/drawingml/2006/spreadsheetDrawing">
  <xdr:twoCellAnchor>
    <xdr:from>
      <xdr:col>0</xdr:col>
      <xdr:colOff>0</xdr:colOff>
      <xdr:row>54</xdr:row>
      <xdr:rowOff>0</xdr:rowOff>
    </xdr:from>
    <xdr:to>
      <xdr:col>7</xdr:col>
      <xdr:colOff>0</xdr:colOff>
      <xdr:row>74</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2a45b94fa4b42bf"/>
        </a:graphicData>
      </a:graphic>
    </xdr:graphicFrame>
    <xdr:clientData/>
  </xdr:twoCellAnchor>
</xdr:wsDr>
</file>

<file path=xl/theme/theme1.xml><?xml version="1.0" encoding="utf-8"?>
<a:theme xmlns:a="http://schemas.openxmlformats.org/drawingml/2006/main" name="ChatGPT">
  <a:themeElements>
    <a:clrScheme name="HR Delivery">
      <a:dk1>
        <a:srgbClr val="06131B"/>
      </a:dk1>
      <a:lt1>
        <a:srgbClr val="FFFFFF"/>
      </a:lt1>
      <a:dk2>
        <a:srgbClr val="112D36"/>
      </a:dk2>
      <a:lt2>
        <a:srgbClr val="F6F8F9"/>
      </a:lt2>
      <a:accent1>
        <a:srgbClr val="06131B"/>
      </a:accent1>
      <a:accent2>
        <a:srgbClr val="159A91"/>
      </a:accent2>
      <a:accent3>
        <a:srgbClr val="2EC4B6"/>
      </a:accent3>
      <a:accent4>
        <a:srgbClr val="5EE3D8"/>
      </a:accent4>
      <a:accent5>
        <a:srgbClr val="47545C"/>
      </a:accent5>
      <a:accent6>
        <a:srgbClr val="AEBBC2"/>
      </a:accent6>
      <a:hlink>
        <a:srgbClr val="159A91"/>
      </a:hlink>
      <a:folHlink>
        <a:srgbClr val="159A91"/>
      </a:folHlink>
    </a:clrScheme>
    <a:fontScheme name="Office">
      <a:majorFont>
        <a:latin typeface="Calibri Light"/>
        <a:ea typeface="Calibri Light"/>
        <a:cs typeface="Calibri Light"/>
      </a:majorFont>
      <a:minorFont>
        <a:latin typeface="Calibri"/>
        <a:ea typeface="Calibri"/>
        <a:cs typeface="Calibri"/>
      </a:minorFont>
    </a:fontScheme>
    <a:fmtScheme name="HR Delivery">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4.xml.rels>&#65279;<?xml version="1.0" encoding="utf-8"?><Relationships xmlns="http://schemas.openxmlformats.org/package/2006/relationships"><Relationship Type="http://schemas.openxmlformats.org/officeDocument/2006/relationships/drawing" Target="/xl/drawings/drawing1.xml" Id="Rd10971bb2af44b07" /></Relationships>
</file>

<file path=xl/worksheets/_rels/sheet31.xml.rels>&#65279;<?xml version="1.0" encoding="utf-8"?><Relationships xmlns="http://schemas.openxmlformats.org/package/2006/relationships"><Relationship Type="http://schemas.openxmlformats.org/officeDocument/2006/relationships/drawing" Target="/xl/drawings/drawing2.xml" Id="Rb32b5693e9bc4523" /></Relationships>
</file>

<file path=xl/worksheets/_rels/sheet32.xml.rels>&#65279;<?xml version="1.0" encoding="utf-8"?><Relationships xmlns="http://schemas.openxmlformats.org/package/2006/relationships"><Relationship Type="http://schemas.openxmlformats.org/officeDocument/2006/relationships/drawing" Target="/xl/drawings/drawing3.xml" Id="R7995106b18574871" /></Relationships>
</file>

<file path=xl/worksheets/_rels/sheet33.xml.rels>&#65279;<?xml version="1.0" encoding="utf-8"?><Relationships xmlns="http://schemas.openxmlformats.org/package/2006/relationships"><Relationship Type="http://schemas.openxmlformats.org/officeDocument/2006/relationships/drawing" Target="/xl/drawings/drawing4.xml" Id="R38dbafea7a2c4793" /></Relationships>
</file>

<file path=xl/worksheets/_rels/sheet34.xml.rels>&#65279;<?xml version="1.0" encoding="utf-8"?><Relationships xmlns="http://schemas.openxmlformats.org/package/2006/relationships"><Relationship Type="http://schemas.openxmlformats.org/officeDocument/2006/relationships/drawing" Target="/xl/drawings/drawing5.xml" Id="Rf4b7143fdbf1475f" /></Relationships>
</file>

<file path=xl/worksheets/_rels/sheet35.xml.rels>&#65279;<?xml version="1.0" encoding="utf-8"?><Relationships xmlns="http://schemas.openxmlformats.org/package/2006/relationships"><Relationship Type="http://schemas.openxmlformats.org/officeDocument/2006/relationships/drawing" Target="/xl/drawings/drawing6.xml" Id="R0776100c4f6c4b2a" /></Relationships>
</file>

<file path=xl/worksheets/_rels/sheet60.xml.rels>&#65279;<?xml version="1.0" encoding="utf-8"?><Relationships xmlns="http://schemas.openxmlformats.org/package/2006/relationships"><Relationship Type="http://schemas.openxmlformats.org/officeDocument/2006/relationships/drawing" Target="/xl/drawings/drawing7.xml" Id="R03c858f454124d75" /></Relationships>
</file>

<file path=xl/worksheets/_rels/sheet70.xml.rels>&#65279;<?xml version="1.0" encoding="utf-8"?><Relationships xmlns="http://schemas.openxmlformats.org/package/2006/relationships"><Relationship Type="http://schemas.openxmlformats.org/officeDocument/2006/relationships/drawing" Target="/xl/drawings/drawing8.xml" Id="R3ca2c13853464922" /></Relationships>
</file>

<file path=xl/worksheets/_rels/sheet88.xml.rels>&#65279;<?xml version="1.0" encoding="utf-8"?><Relationships xmlns="http://schemas.openxmlformats.org/package/2006/relationships"><Relationship Type="http://schemas.openxmlformats.org/officeDocument/2006/relationships/drawing" Target="/xl/drawings/drawing9.xml" Id="R264217431b504dbd" /></Relationships>
</file>

<file path=xl/worksheets/sheet1.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HR DELIVERY | 00 Start</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Process Improvement Framework &amp; Toolkit - companion working records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0" customHeight="1">
      <x:c r="A9" s="3"/>
      <x:c r="B9" s="3"/>
      <x:c r="C9" s="3"/>
      <x:c r="D9" s="3"/>
      <x:c r="E9" s="3"/>
      <x:c r="F9" s="3"/>
      <x:c r="G9" s="3"/>
      <x:c r="H9" s="3"/>
      <x:c r="I9" s="3"/>
      <x:c r="J9" s="3"/>
      <x:c r="K9" s="3"/>
      <x:c r="L9" s="3"/>
      <x:c r="M9" s="3"/>
      <x:c r="N9" s="3"/>
      <x:c r="O9" s="3"/>
      <x:c r="P9" s="3"/>
      <x:c r="Q9" s="3"/>
      <x:c r="R9" s="3"/>
    </x:row>
    <x:row r="10" ht="26" customHeight="1">
      <x:c r="A10" s="34" t="str">
        <x:v>THE TWO-PART TOOLKIT</x:v>
      </x:c>
      <x:c r="B10" s="34"/>
      <x:c r="C10" s="34"/>
      <x:c r="D10" s="34"/>
      <x:c r="E10" s="34"/>
      <x:c r="F10" s="34"/>
      <x:c r="G10" s="34"/>
      <x:c r="H10" s="34"/>
      <x:c r="I10" s="34"/>
      <x:c r="J10" s="34"/>
      <x:c r="K10" s="34"/>
      <x:c r="L10" s="34"/>
      <x:c r="M10" s="3"/>
      <x:c r="N10" s="3"/>
      <x:c r="O10" s="3"/>
      <x:c r="P10" s="3"/>
      <x:c r="Q10" s="3"/>
      <x:c r="R10" s="3"/>
    </x:row>
    <x:row r="11" ht="22" customHeight="1">
      <x:c r="A11" s="72" t="str">
        <x:v>Part 1: Plan, Do, Study, Act. Part 2: value, value stream, flow, pull and continuous improvement. Use the matching PDF for full method, working form and completed example.</x:v>
      </x:c>
      <x:c r="B11" s="72"/>
      <x:c r="C11" s="72"/>
      <x:c r="D11" s="72"/>
      <x:c r="E11" s="72"/>
      <x:c r="F11" s="72"/>
      <x:c r="G11" s="72"/>
      <x:c r="H11" s="72"/>
      <x:c r="I11" s="72"/>
      <x:c r="J11" s="72"/>
      <x:c r="K11" s="72"/>
      <x:c r="L11" s="72"/>
      <x:c r="M11" s="3"/>
      <x:c r="N11" s="3"/>
      <x:c r="O11" s="3"/>
      <x:c r="P11" s="3"/>
      <x:c r="Q11" s="3"/>
      <x:c r="R11" s="3"/>
    </x:row>
    <x:row r="12" ht="22" customHeight="1">
      <x:c r="A12" s="72"/>
      <x:c r="B12" s="72"/>
      <x:c r="C12" s="72"/>
      <x:c r="D12" s="72"/>
      <x:c r="E12" s="72"/>
      <x:c r="F12" s="72"/>
      <x:c r="G12" s="72"/>
      <x:c r="H12" s="72"/>
      <x:c r="I12" s="72"/>
      <x:c r="J12" s="72"/>
      <x:c r="K12" s="72"/>
      <x:c r="L12" s="72"/>
      <x:c r="M12" s="3"/>
      <x:c r="N12" s="3"/>
      <x:c r="O12" s="3"/>
      <x:c r="P12" s="3"/>
      <x:c r="Q12" s="3"/>
      <x:c r="R12" s="3"/>
    </x:row>
    <x:row r="13" ht="22" customHeight="1">
      <x:c r="A13" s="72"/>
      <x:c r="B13" s="72"/>
      <x:c r="C13" s="72"/>
      <x:c r="D13" s="72"/>
      <x:c r="E13" s="72"/>
      <x:c r="F13" s="72"/>
      <x:c r="G13" s="72"/>
      <x:c r="H13" s="72"/>
      <x:c r="I13" s="72"/>
      <x:c r="J13" s="72"/>
      <x:c r="K13" s="72"/>
      <x:c r="L13" s="72"/>
      <x:c r="M13" s="3"/>
      <x:c r="N13" s="3"/>
      <x:c r="O13" s="3"/>
      <x:c r="P13" s="3"/>
      <x:c r="Q13" s="3"/>
      <x:c r="R13" s="3"/>
    </x:row>
    <x:row r="14" ht="20" customHeight="1">
      <x:c r="A14" s="3"/>
      <x:c r="B14" s="3"/>
      <x:c r="C14" s="3"/>
      <x:c r="D14" s="3"/>
      <x:c r="E14" s="3"/>
      <x:c r="F14" s="3"/>
      <x:c r="G14" s="3"/>
      <x:c r="H14" s="3"/>
      <x:c r="I14" s="3"/>
      <x:c r="J14" s="3"/>
      <x:c r="K14" s="3"/>
      <x:c r="L14" s="3"/>
      <x:c r="M14" s="3"/>
      <x:c r="N14" s="3"/>
      <x:c r="O14" s="3"/>
      <x:c r="P14" s="3"/>
      <x:c r="Q14" s="3"/>
      <x:c r="R14" s="3"/>
    </x:row>
    <x:row r="15" ht="26" customHeight="1">
      <x:c r="A15" s="34" t="str">
        <x:v>1  SET UP ONE IMPROVEMENT SCOPE</x:v>
      </x:c>
      <x:c r="B15" s="34"/>
      <x:c r="C15" s="34"/>
      <x:c r="D15" s="34"/>
      <x:c r="E15" s="34"/>
      <x:c r="F15" s="34"/>
      <x:c r="G15" s="34"/>
      <x:c r="H15" s="34"/>
      <x:c r="I15" s="34"/>
      <x:c r="J15" s="34"/>
      <x:c r="K15" s="34"/>
      <x:c r="L15" s="34"/>
      <x:c r="M15" s="3"/>
      <x:c r="N15" s="3"/>
      <x:c r="O15" s="3"/>
      <x:c r="P15" s="3"/>
      <x:c r="Q15" s="3"/>
      <x:c r="R15" s="3"/>
    </x:row>
    <x:row r="16" ht="22" customHeight="1">
      <x:c r="A16" s="72" t="str">
        <x:v>Complete 01 Setup. Use one workbook copy for one process family and improvement scope. Keep personal case content in approved systems; use non-identifying IDs here.</x:v>
      </x:c>
      <x:c r="B16" s="72"/>
      <x:c r="C16" s="72"/>
      <x:c r="D16" s="72"/>
      <x:c r="E16" s="72"/>
      <x:c r="F16" s="72"/>
      <x:c r="G16" s="72"/>
      <x:c r="H16" s="72"/>
      <x:c r="I16" s="72"/>
      <x:c r="J16" s="72"/>
      <x:c r="K16" s="72"/>
      <x:c r="L16" s="72"/>
      <x:c r="M16" s="3"/>
      <x:c r="N16" s="3"/>
      <x:c r="O16" s="3"/>
      <x:c r="P16" s="3"/>
      <x:c r="Q16" s="3"/>
      <x:c r="R16" s="3"/>
    </x:row>
    <x:row r="17" ht="22" customHeight="1">
      <x:c r="A17" s="72"/>
      <x:c r="B17" s="72"/>
      <x:c r="C17" s="72"/>
      <x:c r="D17" s="72"/>
      <x:c r="E17" s="72"/>
      <x:c r="F17" s="72"/>
      <x:c r="G17" s="72"/>
      <x:c r="H17" s="72"/>
      <x:c r="I17" s="72"/>
      <x:c r="J17" s="72"/>
      <x:c r="K17" s="72"/>
      <x:c r="L17" s="72"/>
      <x:c r="M17" s="3"/>
      <x:c r="N17" s="3"/>
      <x:c r="O17" s="3"/>
      <x:c r="P17" s="3"/>
      <x:c r="Q17" s="3"/>
      <x:c r="R17" s="3"/>
    </x:row>
    <x:row r="18" ht="22" customHeight="1">
      <x:c r="A18" s="72"/>
      <x:c r="B18" s="72"/>
      <x:c r="C18" s="72"/>
      <x:c r="D18" s="72"/>
      <x:c r="E18" s="72"/>
      <x:c r="F18" s="72"/>
      <x:c r="G18" s="72"/>
      <x:c r="H18" s="72"/>
      <x:c r="I18" s="72"/>
      <x:c r="J18" s="72"/>
      <x:c r="K18" s="72"/>
      <x:c r="L18" s="72"/>
      <x:c r="M18" s="3"/>
      <x:c r="N18" s="3"/>
      <x:c r="O18" s="3"/>
      <x:c r="P18" s="3"/>
      <x:c r="Q18" s="3"/>
      <x:c r="R18" s="3"/>
    </x:row>
    <x:row r="19" ht="20" customHeight="1">
      <x:c r="A19" s="3"/>
      <x:c r="B19" s="3"/>
      <x:c r="C19" s="3"/>
      <x:c r="D19" s="3"/>
      <x:c r="E19" s="3"/>
      <x:c r="F19" s="3"/>
      <x:c r="G19" s="3"/>
      <x:c r="H19" s="3"/>
      <x:c r="I19" s="3"/>
      <x:c r="J19" s="3"/>
      <x:c r="K19" s="3"/>
      <x:c r="L19" s="3"/>
      <x:c r="M19" s="3"/>
      <x:c r="N19" s="3"/>
      <x:c r="O19" s="3"/>
      <x:c r="P19" s="3"/>
      <x:c r="Q19" s="3"/>
      <x:c r="R19" s="3"/>
    </x:row>
    <x:row r="20" ht="26" customHeight="1">
      <x:c r="A20" s="34" t="str">
        <x:v>2  FIND THE TOOL</x:v>
      </x:c>
      <x:c r="B20" s="34"/>
      <x:c r="C20" s="34"/>
      <x:c r="D20" s="34"/>
      <x:c r="E20" s="34"/>
      <x:c r="F20" s="34"/>
      <x:c r="G20" s="34"/>
      <x:c r="H20" s="34"/>
      <x:c r="I20" s="34"/>
      <x:c r="J20" s="34"/>
      <x:c r="K20" s="34"/>
      <x:c r="L20" s="34"/>
      <x:c r="M20" s="3"/>
      <x:c r="N20" s="3"/>
      <x:c r="O20" s="3"/>
      <x:c r="P20" s="3"/>
      <x:c r="Q20" s="3"/>
      <x:c r="R20" s="3"/>
    </x:row>
    <x:row r="21" ht="22" customHeight="1">
      <x:c r="A21" s="72" t="str">
        <x:v>02 Tool Index links to all 80 tools. Each has a working record; analytical and tracker tabs also contain live tables. The exact manual page numbers appear in the index.</x:v>
      </x:c>
      <x:c r="B21" s="72"/>
      <x:c r="C21" s="72"/>
      <x:c r="D21" s="72"/>
      <x:c r="E21" s="72"/>
      <x:c r="F21" s="72"/>
      <x:c r="G21" s="72"/>
      <x:c r="H21" s="72"/>
      <x:c r="I21" s="72"/>
      <x:c r="J21" s="72"/>
      <x:c r="K21" s="72"/>
      <x:c r="L21" s="72"/>
      <x:c r="M21" s="3"/>
      <x:c r="N21" s="3"/>
      <x:c r="O21" s="3"/>
      <x:c r="P21" s="3"/>
      <x:c r="Q21" s="3"/>
      <x:c r="R21" s="3"/>
    </x:row>
    <x:row r="22" ht="22" customHeight="1">
      <x:c r="A22" s="72"/>
      <x:c r="B22" s="72"/>
      <x:c r="C22" s="72"/>
      <x:c r="D22" s="72"/>
      <x:c r="E22" s="72"/>
      <x:c r="F22" s="72"/>
      <x:c r="G22" s="72"/>
      <x:c r="H22" s="72"/>
      <x:c r="I22" s="72"/>
      <x:c r="J22" s="72"/>
      <x:c r="K22" s="72"/>
      <x:c r="L22" s="72"/>
      <x:c r="M22" s="3"/>
      <x:c r="N22" s="3"/>
      <x:c r="O22" s="3"/>
      <x:c r="P22" s="3"/>
      <x:c r="Q22" s="3"/>
      <x:c r="R22" s="3"/>
    </x:row>
    <x:row r="23" ht="22" customHeight="1">
      <x:c r="A23" s="72"/>
      <x:c r="B23" s="72"/>
      <x:c r="C23" s="72"/>
      <x:c r="D23" s="72"/>
      <x:c r="E23" s="72"/>
      <x:c r="F23" s="72"/>
      <x:c r="G23" s="72"/>
      <x:c r="H23" s="72"/>
      <x:c r="I23" s="72"/>
      <x:c r="J23" s="72"/>
      <x:c r="K23" s="72"/>
      <x:c r="L23" s="72"/>
      <x:c r="M23" s="3"/>
      <x:c r="N23" s="3"/>
      <x:c r="O23" s="3"/>
      <x:c r="P23" s="3"/>
      <x:c r="Q23" s="3"/>
      <x:c r="R23" s="3"/>
    </x:row>
    <x:row r="24" ht="20" customHeight="1">
      <x:c r="A24" s="3"/>
      <x:c r="B24" s="3"/>
      <x:c r="C24" s="3"/>
      <x:c r="D24" s="3"/>
      <x:c r="E24" s="3"/>
      <x:c r="F24" s="3"/>
      <x:c r="G24" s="3"/>
      <x:c r="H24" s="3"/>
      <x:c r="I24" s="3"/>
      <x:c r="J24" s="3"/>
      <x:c r="K24" s="3"/>
      <x:c r="L24" s="3"/>
      <x:c r="M24" s="3"/>
      <x:c r="N24" s="3"/>
      <x:c r="O24" s="3"/>
      <x:c r="P24" s="3"/>
      <x:c r="Q24" s="3"/>
      <x:c r="R24" s="3"/>
    </x:row>
    <x:row r="25" ht="26" customHeight="1">
      <x:c r="A25" s="34" t="str">
        <x:v>3  ENTER YOUR EVIDENCE</x:v>
      </x:c>
      <x:c r="B25" s="34"/>
      <x:c r="C25" s="34"/>
      <x:c r="D25" s="34"/>
      <x:c r="E25" s="34"/>
      <x:c r="F25" s="34"/>
      <x:c r="G25" s="34"/>
      <x:c r="H25" s="34"/>
      <x:c r="I25" s="34"/>
      <x:c r="J25" s="34"/>
      <x:c r="K25" s="34"/>
      <x:c r="L25" s="34"/>
      <x:c r="M25" s="3"/>
      <x:c r="N25" s="3"/>
      <x:c r="O25" s="3"/>
      <x:c r="P25" s="3"/>
      <x:c r="Q25" s="3"/>
      <x:c r="R25" s="3"/>
    </x:row>
    <x:row r="26" ht="22" customHeight="1">
      <x:c r="A26" s="72" t="str">
        <x:v>Pale aqua cells are inputs. Grey cells are formulas. Enter real numbers and date/time values, not text that looks like a date. Blank is not zero. Do not overwrite formulas.</x:v>
      </x:c>
      <x:c r="B26" s="72"/>
      <x:c r="C26" s="72"/>
      <x:c r="D26" s="72"/>
      <x:c r="E26" s="72"/>
      <x:c r="F26" s="72"/>
      <x:c r="G26" s="72"/>
      <x:c r="H26" s="72"/>
      <x:c r="I26" s="72"/>
      <x:c r="J26" s="72"/>
      <x:c r="K26" s="72"/>
      <x:c r="L26" s="72"/>
      <x:c r="M26" s="3"/>
      <x:c r="N26" s="3"/>
      <x:c r="O26" s="3"/>
      <x:c r="P26" s="3"/>
      <x:c r="Q26" s="3"/>
      <x:c r="R26" s="3"/>
    </x:row>
    <x:row r="27" ht="22" customHeight="1">
      <x:c r="A27" s="72"/>
      <x:c r="B27" s="72"/>
      <x:c r="C27" s="72"/>
      <x:c r="D27" s="72"/>
      <x:c r="E27" s="72"/>
      <x:c r="F27" s="72"/>
      <x:c r="G27" s="72"/>
      <x:c r="H27" s="72"/>
      <x:c r="I27" s="72"/>
      <x:c r="J27" s="72"/>
      <x:c r="K27" s="72"/>
      <x:c r="L27" s="72"/>
      <x:c r="M27" s="3"/>
      <x:c r="N27" s="3"/>
      <x:c r="O27" s="3"/>
      <x:c r="P27" s="3"/>
      <x:c r="Q27" s="3"/>
      <x:c r="R27" s="3"/>
    </x:row>
    <x:row r="28" ht="22" customHeight="1">
      <x:c r="A28" s="72"/>
      <x:c r="B28" s="72"/>
      <x:c r="C28" s="72"/>
      <x:c r="D28" s="72"/>
      <x:c r="E28" s="72"/>
      <x:c r="F28" s="72"/>
      <x:c r="G28" s="72"/>
      <x:c r="H28" s="72"/>
      <x:c r="I28" s="72"/>
      <x:c r="J28" s="72"/>
      <x:c r="K28" s="72"/>
      <x:c r="L28" s="72"/>
      <x:c r="M28" s="3"/>
      <x:c r="N28" s="3"/>
      <x:c r="O28" s="3"/>
      <x:c r="P28" s="3"/>
      <x:c r="Q28" s="3"/>
      <x:c r="R28" s="3"/>
    </x:row>
    <x:row r="29" ht="20" customHeight="1">
      <x:c r="A29" s="3"/>
      <x:c r="B29" s="3"/>
      <x:c r="C29" s="3"/>
      <x:c r="D29" s="3"/>
      <x:c r="E29" s="3"/>
      <x:c r="F29" s="3"/>
      <x:c r="G29" s="3"/>
      <x:c r="H29" s="3"/>
      <x:c r="I29" s="3"/>
      <x:c r="J29" s="3"/>
      <x:c r="K29" s="3"/>
      <x:c r="L29" s="3"/>
      <x:c r="M29" s="3"/>
      <x:c r="N29" s="3"/>
      <x:c r="O29" s="3"/>
      <x:c r="P29" s="3"/>
      <x:c r="Q29" s="3"/>
      <x:c r="R29" s="3"/>
    </x:row>
    <x:row r="30" ht="26" customHeight="1">
      <x:c r="A30" s="34" t="str">
        <x:v>4  REVIEW ONE CYCLE AT A TIME</x:v>
      </x:c>
      <x:c r="B30" s="34"/>
      <x:c r="C30" s="34"/>
      <x:c r="D30" s="34"/>
      <x:c r="E30" s="34"/>
      <x:c r="F30" s="34"/>
      <x:c r="G30" s="34"/>
      <x:c r="H30" s="34"/>
      <x:c r="I30" s="34"/>
      <x:c r="J30" s="34"/>
      <x:c r="K30" s="34"/>
      <x:c r="L30" s="34"/>
      <x:c r="M30" s="3"/>
      <x:c r="N30" s="3"/>
      <x:c r="O30" s="3"/>
      <x:c r="P30" s="3"/>
      <x:c r="Q30" s="3"/>
      <x:c r="R30" s="3"/>
    </x:row>
    <x:row r="31" ht="22" customHeight="1">
      <x:c r="A31" s="72" t="str">
        <x:v>D04 Case Data supports the live dashboard. Select the exact phase/cycle label in Setup B10. The dashboard uses that label and does not combine changing versions into one performance result.</x:v>
      </x:c>
      <x:c r="B31" s="72"/>
      <x:c r="C31" s="72"/>
      <x:c r="D31" s="72"/>
      <x:c r="E31" s="72"/>
      <x:c r="F31" s="72"/>
      <x:c r="G31" s="72"/>
      <x:c r="H31" s="72"/>
      <x:c r="I31" s="72"/>
      <x:c r="J31" s="72"/>
      <x:c r="K31" s="72"/>
      <x:c r="L31" s="72"/>
      <x:c r="M31" s="3"/>
      <x:c r="N31" s="3"/>
      <x:c r="O31" s="3"/>
      <x:c r="P31" s="3"/>
      <x:c r="Q31" s="3"/>
      <x:c r="R31" s="3"/>
    </x:row>
    <x:row r="32" ht="22" customHeight="1">
      <x:c r="A32" s="72"/>
      <x:c r="B32" s="72"/>
      <x:c r="C32" s="72"/>
      <x:c r="D32" s="72"/>
      <x:c r="E32" s="72"/>
      <x:c r="F32" s="72"/>
      <x:c r="G32" s="72"/>
      <x:c r="H32" s="72"/>
      <x:c r="I32" s="72"/>
      <x:c r="J32" s="72"/>
      <x:c r="K32" s="72"/>
      <x:c r="L32" s="72"/>
      <x:c r="M32" s="3"/>
      <x:c r="N32" s="3"/>
      <x:c r="O32" s="3"/>
      <x:c r="P32" s="3"/>
      <x:c r="Q32" s="3"/>
      <x:c r="R32" s="3"/>
    </x:row>
    <x:row r="33" ht="22" customHeight="1">
      <x:c r="A33" s="72"/>
      <x:c r="B33" s="72"/>
      <x:c r="C33" s="72"/>
      <x:c r="D33" s="72"/>
      <x:c r="E33" s="72"/>
      <x:c r="F33" s="72"/>
      <x:c r="G33" s="72"/>
      <x:c r="H33" s="72"/>
      <x:c r="I33" s="72"/>
      <x:c r="J33" s="72"/>
      <x:c r="K33" s="72"/>
      <x:c r="L33" s="72"/>
      <x:c r="M33" s="3"/>
      <x:c r="N33" s="3"/>
      <x:c r="O33" s="3"/>
      <x:c r="P33" s="3"/>
      <x:c r="Q33" s="3"/>
      <x:c r="R33" s="3"/>
    </x:row>
    <x:row r="34" ht="20" customHeight="1">
      <x:c r="A34" s="3"/>
      <x:c r="B34" s="3"/>
      <x:c r="C34" s="3"/>
      <x:c r="D34" s="3"/>
      <x:c r="E34" s="3"/>
      <x:c r="F34" s="3"/>
      <x:c r="G34" s="3"/>
      <x:c r="H34" s="3"/>
      <x:c r="I34" s="3"/>
      <x:c r="J34" s="3"/>
      <x:c r="K34" s="3"/>
      <x:c r="L34" s="3"/>
      <x:c r="M34" s="3"/>
      <x:c r="N34" s="3"/>
      <x:c r="O34" s="3"/>
      <x:c r="P34" s="3"/>
      <x:c r="Q34" s="3"/>
      <x:c r="R34" s="3"/>
    </x:row>
    <x:row r="35" ht="26" customHeight="1">
      <x:c r="A35" s="34" t="str">
        <x:v>5  LEARN FROM THE EX SHEETS</x:v>
      </x:c>
      <x:c r="B35" s="34"/>
      <x:c r="C35" s="34"/>
      <x:c r="D35" s="34"/>
      <x:c r="E35" s="34"/>
      <x:c r="F35" s="34"/>
      <x:c r="G35" s="34"/>
      <x:c r="H35" s="34"/>
      <x:c r="I35" s="34"/>
      <x:c r="J35" s="34"/>
      <x:c r="K35" s="34"/>
      <x:c r="L35" s="34"/>
      <x:c r="M35" s="3"/>
      <x:c r="N35" s="3"/>
      <x:c r="O35" s="3"/>
      <x:c r="P35" s="3"/>
      <x:c r="Q35" s="3"/>
      <x:c r="R35" s="3"/>
    </x:row>
    <x:row r="36" ht="22" customHeight="1">
      <x:c r="A36" s="72" t="str">
        <x:v>EX FLOW Data, EX Worked Calculations and EX Cycle Story are fictional teaching material. They never feed live dashboard measures. Read the assumptions and arithmetic before adapting a method.</x:v>
      </x:c>
      <x:c r="B36" s="72"/>
      <x:c r="C36" s="72"/>
      <x:c r="D36" s="72"/>
      <x:c r="E36" s="72"/>
      <x:c r="F36" s="72"/>
      <x:c r="G36" s="72"/>
      <x:c r="H36" s="72"/>
      <x:c r="I36" s="72"/>
      <x:c r="J36" s="72"/>
      <x:c r="K36" s="72"/>
      <x:c r="L36" s="72"/>
      <x:c r="M36" s="3"/>
      <x:c r="N36" s="3"/>
      <x:c r="O36" s="3"/>
      <x:c r="P36" s="3"/>
      <x:c r="Q36" s="3"/>
      <x:c r="R36" s="3"/>
    </x:row>
    <x:row r="37" ht="22" customHeight="1">
      <x:c r="A37" s="72"/>
      <x:c r="B37" s="72"/>
      <x:c r="C37" s="72"/>
      <x:c r="D37" s="72"/>
      <x:c r="E37" s="72"/>
      <x:c r="F37" s="72"/>
      <x:c r="G37" s="72"/>
      <x:c r="H37" s="72"/>
      <x:c r="I37" s="72"/>
      <x:c r="J37" s="72"/>
      <x:c r="K37" s="72"/>
      <x:c r="L37" s="72"/>
      <x:c r="M37" s="3"/>
      <x:c r="N37" s="3"/>
      <x:c r="O37" s="3"/>
      <x:c r="P37" s="3"/>
      <x:c r="Q37" s="3"/>
      <x:c r="R37" s="3"/>
    </x:row>
    <x:row r="38" ht="22" customHeight="1">
      <x:c r="A38" s="72"/>
      <x:c r="B38" s="72"/>
      <x:c r="C38" s="72"/>
      <x:c r="D38" s="72"/>
      <x:c r="E38" s="72"/>
      <x:c r="F38" s="72"/>
      <x:c r="G38" s="72"/>
      <x:c r="H38" s="72"/>
      <x:c r="I38" s="72"/>
      <x:c r="J38" s="72"/>
      <x:c r="K38" s="72"/>
      <x:c r="L38" s="72"/>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6" customHeight="1">
      <x:c r="A40" s="34" t="str">
        <x:v>IMPORTANT LIMITS</x:v>
      </x:c>
      <x:c r="B40" s="34"/>
      <x:c r="C40" s="34"/>
      <x:c r="D40" s="34"/>
      <x:c r="E40" s="34"/>
      <x:c r="F40" s="34"/>
      <x:c r="G40" s="34"/>
      <x:c r="H40" s="34"/>
      <x:c r="I40" s="34"/>
      <x:c r="J40" s="34"/>
      <x:c r="K40" s="34"/>
      <x:c r="L40" s="34"/>
      <x:c r="M40" s="3"/>
      <x:c r="N40" s="3"/>
      <x:c r="O40" s="3"/>
      <x:c r="P40" s="3"/>
      <x:c r="Q40" s="3"/>
      <x:c r="R40" s="3"/>
    </x:row>
    <x:row r="41" ht="22" customHeight="1">
      <x:c r="A41" s="72" t="str">
        <x:v>No macros or external data connections. Charts and formulas are bounded to the prepared rows. This is not a workflow engine, a validated assessment, a complete SPC package or a legal/safety approval. Extend ranges only with formula, validation and chart checks.</x:v>
      </x:c>
      <x:c r="B41" s="72"/>
      <x:c r="C41" s="72"/>
      <x:c r="D41" s="72"/>
      <x:c r="E41" s="72"/>
      <x:c r="F41" s="72"/>
      <x:c r="G41" s="72"/>
      <x:c r="H41" s="72"/>
      <x:c r="I41" s="72"/>
      <x:c r="J41" s="72"/>
      <x:c r="K41" s="72"/>
      <x:c r="L41" s="72"/>
      <x:c r="M41" s="3"/>
      <x:c r="N41" s="3"/>
      <x:c r="O41" s="3"/>
      <x:c r="P41" s="3"/>
      <x:c r="Q41" s="3"/>
      <x:c r="R41" s="3"/>
    </x:row>
    <x:row r="42" ht="22" customHeight="1">
      <x:c r="A42" s="72"/>
      <x:c r="B42" s="72"/>
      <x:c r="C42" s="72"/>
      <x:c r="D42" s="72"/>
      <x:c r="E42" s="72"/>
      <x:c r="F42" s="72"/>
      <x:c r="G42" s="72"/>
      <x:c r="H42" s="72"/>
      <x:c r="I42" s="72"/>
      <x:c r="J42" s="72"/>
      <x:c r="K42" s="72"/>
      <x:c r="L42" s="72"/>
      <x:c r="M42" s="3"/>
      <x:c r="N42" s="3"/>
      <x:c r="O42" s="3"/>
      <x:c r="P42" s="3"/>
      <x:c r="Q42" s="3"/>
      <x:c r="R42" s="3"/>
    </x:row>
    <x:row r="43" ht="22" customHeight="1">
      <x:c r="A43" s="72"/>
      <x:c r="B43" s="72"/>
      <x:c r="C43" s="72"/>
      <x:c r="D43" s="72"/>
      <x:c r="E43" s="72"/>
      <x:c r="F43" s="72"/>
      <x:c r="G43" s="72"/>
      <x:c r="H43" s="72"/>
      <x:c r="I43" s="72"/>
      <x:c r="J43" s="72"/>
      <x:c r="K43" s="72"/>
      <x:c r="L43" s="72"/>
      <x:c r="M43" s="3"/>
      <x:c r="N43" s="3"/>
      <x:c r="O43" s="3"/>
      <x:c r="P43" s="3"/>
      <x:c r="Q43" s="3"/>
      <x:c r="R43" s="3"/>
    </x:row>
    <x:row r="44" ht="20" customHeight="1">
      <x:c r="A44" s="3"/>
      <x:c r="B44" s="3"/>
      <x:c r="C44" s="3"/>
      <x:c r="D44" s="3"/>
      <x:c r="E44" s="3"/>
      <x:c r="F44" s="3"/>
      <x:c r="G44" s="3"/>
      <x:c r="H44" s="3"/>
      <x:c r="I44" s="3"/>
      <x:c r="J44" s="3"/>
      <x:c r="K44" s="3"/>
      <x:c r="L44" s="3"/>
      <x:c r="M44" s="3"/>
      <x:c r="N44" s="3"/>
      <x:c r="O44" s="3"/>
      <x:c r="P44" s="3"/>
      <x:c r="Q44" s="3"/>
      <x:c r="R44" s="3"/>
    </x:row>
    <x:row r="45" ht="26" customHeight="1">
      <x:c r="A45" s="34" t="str">
        <x:v>SOURCE AND VERSION CONTROL</x:v>
      </x:c>
      <x:c r="B45" s="34"/>
      <x:c r="C45" s="34"/>
      <x:c r="D45" s="34"/>
      <x:c r="E45" s="34"/>
      <x:c r="F45" s="34"/>
      <x:c r="G45" s="34"/>
      <x:c r="H45" s="34"/>
      <x:c r="I45" s="34"/>
      <x:c r="J45" s="34"/>
      <x:c r="K45" s="34"/>
      <x:c r="L45" s="34"/>
      <x:c r="M45" s="3"/>
      <x:c r="N45" s="3"/>
      <x:c r="O45" s="3"/>
      <x:c r="P45" s="3"/>
      <x:c r="Q45" s="3"/>
      <x:c r="R45" s="3"/>
    </x:row>
    <x:row r="46" ht="22" customHeight="1">
      <x:c r="A46" s="72" t="str">
        <x:v>05 Sources contains the supplied source crosswalk and researched method URLs. 04 Calculation Notes explains formulas and limits. Record local changes and retain a clean master copy.</x:v>
      </x:c>
      <x:c r="B46" s="72"/>
      <x:c r="C46" s="72"/>
      <x:c r="D46" s="72"/>
      <x:c r="E46" s="72"/>
      <x:c r="F46" s="72"/>
      <x:c r="G46" s="72"/>
      <x:c r="H46" s="72"/>
      <x:c r="I46" s="72"/>
      <x:c r="J46" s="72"/>
      <x:c r="K46" s="72"/>
      <x:c r="L46" s="72"/>
      <x:c r="M46" s="3"/>
      <x:c r="N46" s="3"/>
      <x:c r="O46" s="3"/>
      <x:c r="P46" s="3"/>
      <x:c r="Q46" s="3"/>
      <x:c r="R46" s="3"/>
    </x:row>
    <x:row r="47" ht="22" customHeight="1">
      <x:c r="A47" s="72"/>
      <x:c r="B47" s="72"/>
      <x:c r="C47" s="72"/>
      <x:c r="D47" s="72"/>
      <x:c r="E47" s="72"/>
      <x:c r="F47" s="72"/>
      <x:c r="G47" s="72"/>
      <x:c r="H47" s="72"/>
      <x:c r="I47" s="72"/>
      <x:c r="J47" s="72"/>
      <x:c r="K47" s="72"/>
      <x:c r="L47" s="72"/>
      <x:c r="M47" s="3"/>
      <x:c r="N47" s="3"/>
      <x:c r="O47" s="3"/>
      <x:c r="P47" s="3"/>
      <x:c r="Q47" s="3"/>
      <x:c r="R47" s="3"/>
    </x:row>
    <x:row r="48" ht="22" customHeight="1">
      <x:c r="A48" s="72"/>
      <x:c r="B48" s="72"/>
      <x:c r="C48" s="72"/>
      <x:c r="D48" s="72"/>
      <x:c r="E48" s="72"/>
      <x:c r="F48" s="72"/>
      <x:c r="G48" s="72"/>
      <x:c r="H48" s="72"/>
      <x:c r="I48" s="72"/>
      <x:c r="J48" s="72"/>
      <x:c r="K48" s="72"/>
      <x:c r="L48" s="72"/>
      <x:c r="M48" s="3"/>
      <x:c r="N48" s="3"/>
      <x:c r="O48" s="3"/>
      <x:c r="P48" s="3"/>
      <x:c r="Q48" s="3"/>
      <x:c r="R48" s="3"/>
    </x:row>
    <x:row r="49" ht="20" customHeight="1">
      <x:c r="A49" s="3"/>
      <x:c r="B49" s="3"/>
      <x:c r="C49" s="3"/>
      <x:c r="D49" s="3"/>
      <x:c r="E49" s="3"/>
      <x:c r="F49" s="3"/>
      <x:c r="G49" s="3"/>
      <x:c r="H49" s="3"/>
      <x:c r="I49" s="3"/>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0:L10"/>
    <x:mergeCell ref="A11:L13"/>
    <x:mergeCell ref="A15:L15"/>
    <x:mergeCell ref="A16:L18"/>
    <x:mergeCell ref="A20:L20"/>
    <x:mergeCell ref="A21:L23"/>
    <x:mergeCell ref="A25:L25"/>
    <x:mergeCell ref="A26:L28"/>
    <x:mergeCell ref="A30:L30"/>
    <x:mergeCell ref="A31:L33"/>
    <x:mergeCell ref="A35:L35"/>
    <x:mergeCell ref="A36:L38"/>
    <x:mergeCell ref="A40:L40"/>
    <x:mergeCell ref="A41:L43"/>
    <x:mergeCell ref="A45:L45"/>
    <x:mergeCell ref="A46:L48"/>
  </x:mergeCells>
  <x:pageMargins left="0.7" right="0.7" top="0.75" bottom="0.75" header="0.3" footer="0.3"/>
</x:worksheet>
</file>

<file path=xl/worksheets/sheet2.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29" hidden="0" customWidth="1"/>
    <x:col min="2" max="2" width="26" hidden="0" customWidth="1"/>
    <x:col min="3" max="3" width="68"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HR DELIVERY | 01 Setup</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Process Improvement Framework &amp; Toolkit - companion working records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43" customHeight="1">
      <x:c r="A9" s="63" t="str">
        <x:v>Process / scope</x:v>
      </x:c>
      <x:c r="B9" s="45"/>
      <x:c r="C9" s="66" t="str">
        <x:v>Enter your live process name.</x:v>
      </x:c>
      <x:c r="D9" s="3"/>
      <x:c r="E9" s="3"/>
      <x:c r="F9" s="3"/>
      <x:c r="G9" s="3"/>
      <x:c r="H9" s="3"/>
      <x:c r="I9" s="3"/>
      <x:c r="J9" s="3"/>
      <x:c r="K9" s="3"/>
      <x:c r="L9" s="3"/>
      <x:c r="M9" s="3"/>
      <x:c r="N9" s="3"/>
      <x:c r="O9" s="3"/>
      <x:c r="P9" s="3"/>
      <x:c r="Q9" s="3"/>
      <x:c r="R9" s="3"/>
    </x:row>
    <x:row r="10" ht="43" customHeight="1">
      <x:c r="A10" s="63" t="str">
        <x:v>Selected phase / cycle</x:v>
      </x:c>
      <x:c r="B10" s="45"/>
      <x:c r="C10" s="66" t="str">
        <x:v>Exact label used in D04 column B. Dashboard does not pool different cycles.</x:v>
      </x:c>
      <x:c r="D10" s="3"/>
      <x:c r="E10" s="3"/>
      <x:c r="F10" s="3"/>
      <x:c r="G10" s="3"/>
      <x:c r="H10" s="3"/>
      <x:c r="I10" s="3"/>
      <x:c r="J10" s="3"/>
      <x:c r="K10" s="3"/>
      <x:c r="L10" s="3"/>
      <x:c r="M10" s="3"/>
      <x:c r="N10" s="3"/>
      <x:c r="O10" s="3"/>
      <x:c r="P10" s="3"/>
      <x:c r="Q10" s="3"/>
      <x:c r="R10" s="3"/>
    </x:row>
    <x:row r="11" ht="43" customHeight="1">
      <x:c r="A11" s="63" t="str">
        <x:v>Local time aim (hours)</x:v>
      </x:c>
      <x:c r="B11" s="45" t="n">
        <x:v>24</x:v>
      </x:c>
      <x:c r="C11" s="66" t="str">
        <x:v>Editable starting value; a local aim, not a benchmark. Used only for D04 timeliness.</x:v>
      </x:c>
      <x:c r="D11" s="3"/>
      <x:c r="E11" s="3"/>
      <x:c r="F11" s="3"/>
      <x:c r="G11" s="3"/>
      <x:c r="H11" s="3"/>
      <x:c r="I11" s="3"/>
      <x:c r="J11" s="3"/>
      <x:c r="K11" s="3"/>
      <x:c r="L11" s="3"/>
      <x:c r="M11" s="3"/>
      <x:c r="N11" s="3"/>
      <x:c r="O11" s="3"/>
      <x:c r="P11" s="3"/>
      <x:c r="Q11" s="3"/>
      <x:c r="R11" s="3"/>
    </x:row>
    <x:row r="12" ht="43" customHeight="1">
      <x:c r="A12" s="63" t="str">
        <x:v>SPC baseline observations</x:v>
      </x:c>
      <x:c r="B12" s="45" t="n">
        <x:v>20</x:v>
      </x:c>
      <x:c r="C12" s="66" t="str">
        <x:v>Fixed worksheet baseline positions: first 20 rows. Local analytical guardrail.</x:v>
      </x:c>
      <x:c r="D12" s="3"/>
      <x:c r="E12" s="3"/>
      <x:c r="F12" s="3"/>
      <x:c r="G12" s="3"/>
      <x:c r="H12" s="3"/>
      <x:c r="I12" s="3"/>
      <x:c r="J12" s="3"/>
      <x:c r="K12" s="3"/>
      <x:c r="L12" s="3"/>
      <x:c r="M12" s="3"/>
      <x:c r="N12" s="3"/>
      <x:c r="O12" s="3"/>
      <x:c r="P12" s="3"/>
      <x:c r="Q12" s="3"/>
      <x:c r="R12" s="3"/>
    </x:row>
    <x:row r="13" ht="43" customHeight="1">
      <x:c r="A13" s="63" t="str">
        <x:v>I-MR d2</x:v>
      </x:c>
      <x:c r="B13" s="45" t="n">
        <x:v>1.128</x:v>
      </x:c>
      <x:c r="C13" s="66" t="str">
        <x:v>NIST constant for moving ranges of two [R06].</x:v>
      </x:c>
      <x:c r="D13" s="3"/>
      <x:c r="E13" s="3"/>
      <x:c r="F13" s="3"/>
      <x:c r="G13" s="3"/>
      <x:c r="H13" s="3"/>
      <x:c r="I13" s="3"/>
      <x:c r="J13" s="3"/>
      <x:c r="K13" s="3"/>
      <x:c r="L13" s="3"/>
      <x:c r="M13" s="3"/>
      <x:c r="N13" s="3"/>
      <x:c r="O13" s="3"/>
      <x:c r="P13" s="3"/>
      <x:c r="Q13" s="3"/>
      <x:c r="R13" s="3"/>
    </x:row>
    <x:row r="14" ht="43" customHeight="1">
      <x:c r="A14" s="63" t="str">
        <x:v>I-MR D4</x:v>
      </x:c>
      <x:c r="B14" s="45" t="n">
        <x:v>3.267</x:v>
      </x:c>
      <x:c r="C14" s="66" t="str">
        <x:v>Moving-range UCL multiplier for ranges of two [R06].</x:v>
      </x:c>
      <x:c r="D14" s="3"/>
      <x:c r="E14" s="3"/>
      <x:c r="F14" s="3"/>
      <x:c r="G14" s="3"/>
      <x:c r="H14" s="3"/>
      <x:c r="I14" s="3"/>
      <x:c r="J14" s="3"/>
      <x:c r="K14" s="3"/>
      <x:c r="L14" s="3"/>
      <x:c r="M14" s="3"/>
      <x:c r="N14" s="3"/>
      <x:c r="O14" s="3"/>
      <x:c r="P14" s="3"/>
      <x:c r="Q14" s="3"/>
      <x:c r="R14" s="3"/>
    </x:row>
    <x:row r="15" ht="43" customHeight="1">
      <x:c r="A15" s="63" t="str">
        <x:v>Control-limit multiplier</x:v>
      </x:c>
      <x:c r="B15" s="45" t="n">
        <x:v>3</x:v>
      </x:c>
      <x:c r="C15" s="66" t="str">
        <x:v>Basic three-sigma calculation [R06,R07].</x:v>
      </x:c>
      <x:c r="D15" s="3"/>
      <x:c r="E15" s="3"/>
      <x:c r="F15" s="3"/>
      <x:c r="G15" s="3"/>
      <x:c r="H15" s="3"/>
      <x:c r="I15" s="3"/>
      <x:c r="J15" s="3"/>
      <x:c r="K15" s="3"/>
      <x:c r="L15" s="3"/>
      <x:c r="M15" s="3"/>
      <x:c r="N15" s="3"/>
      <x:c r="O15" s="3"/>
      <x:c r="P15" s="3"/>
      <x:c r="Q15" s="3"/>
      <x:c r="R15" s="3"/>
    </x:row>
    <x:row r="16" ht="43" customHeight="1">
      <x:c r="A16" s="63" t="str">
        <x:v>Run-chart screen minimum</x:v>
      </x:c>
      <x:c r="B16" s="45" t="n">
        <x:v>20</x:v>
      </x:c>
      <x:c r="C16" s="66" t="str">
        <x:v>Twenty-plus-point convention [R41]; full run tests are not automated.</x:v>
      </x:c>
      <x:c r="D16" s="3"/>
      <x:c r="E16" s="3"/>
      <x:c r="F16" s="3"/>
      <x:c r="G16" s="3"/>
      <x:c r="H16" s="3"/>
      <x:c r="I16" s="3"/>
      <x:c r="J16" s="3"/>
      <x:c r="K16" s="3"/>
      <x:c r="L16" s="3"/>
      <x:c r="M16" s="3"/>
      <x:c r="N16" s="3"/>
      <x:c r="O16" s="3"/>
      <x:c r="P16" s="3"/>
      <x:c r="Q16" s="3"/>
      <x:c r="R16" s="3"/>
    </x:row>
    <x:row r="17" ht="43" customHeight="1">
      <x:c r="A17" s="63" t="str">
        <x:v>Run-chart shift length</x:v>
      </x:c>
      <x:c r="B17" s="45" t="n">
        <x:v>8</x:v>
      </x:c>
      <x:c r="C17" s="66" t="str">
        <x:v>Useful non-median points on one side [R41].</x:v>
      </x:c>
      <x:c r="D17" s="3"/>
      <x:c r="E17" s="3"/>
      <x:c r="F17" s="3"/>
      <x:c r="G17" s="3"/>
      <x:c r="H17" s="3"/>
      <x:c r="I17" s="3"/>
      <x:c r="J17" s="3"/>
      <x:c r="K17" s="3"/>
      <x:c r="L17" s="3"/>
      <x:c r="M17" s="3"/>
      <x:c r="N17" s="3"/>
      <x:c r="O17" s="3"/>
      <x:c r="P17" s="3"/>
      <x:c r="Q17" s="3"/>
      <x:c r="R17" s="3"/>
    </x:row>
    <x:row r="18" ht="43" customHeight="1">
      <x:c r="A18" s="63" t="str">
        <x:v>Run-chart trend length</x:v>
      </x:c>
      <x:c r="B18" s="45" t="n">
        <x:v>6</x:v>
      </x:c>
      <x:c r="C18" s="66" t="str">
        <x:v>Distinct values in one direction; consecutive ties count once [R41].</x:v>
      </x:c>
      <x:c r="D18" s="3"/>
      <x:c r="E18" s="3"/>
      <x:c r="F18" s="3"/>
      <x:c r="G18" s="3"/>
      <x:c r="H18" s="3"/>
      <x:c r="I18" s="3"/>
      <x:c r="J18" s="3"/>
      <x:c r="K18" s="3"/>
      <x:c r="L18" s="3"/>
      <x:c r="M18" s="3"/>
      <x:c r="N18" s="3"/>
      <x:c r="O18" s="3"/>
      <x:c r="P18" s="3"/>
      <x:c r="Q18" s="3"/>
      <x:c r="R18" s="3"/>
    </x:row>
    <x:row r="19" ht="43" customHeight="1">
      <x:c r="A19" s="63" t="str">
        <x:v>Months in annual scenario</x:v>
      </x:c>
      <x:c r="B19" s="45" t="n">
        <x:v>12</x:v>
      </x:c>
      <x:c r="C19" s="66" t="str">
        <x:v>Unit conversion; scenario assumes a full year.</x:v>
      </x:c>
      <x:c r="D19" s="3"/>
      <x:c r="E19" s="3"/>
      <x:c r="F19" s="3"/>
      <x:c r="G19" s="3"/>
      <x:c r="H19" s="3"/>
      <x:c r="I19" s="3"/>
      <x:c r="J19" s="3"/>
      <x:c r="K19" s="3"/>
      <x:c r="L19" s="3"/>
      <x:c r="M19" s="3"/>
      <x:c r="N19" s="3"/>
      <x:c r="O19" s="3"/>
      <x:c r="P19" s="3"/>
      <x:c r="Q19" s="3"/>
      <x:c r="R19" s="3"/>
    </x:row>
    <x:row r="20" ht="43" customHeight="1">
      <x:c r="A20" s="63" t="str">
        <x:v>Reporting currency</x:v>
      </x:c>
      <x:c r="B20" s="45" t="str">
        <x:v>SAR</x:v>
      </x:c>
      <x:c r="C20" s="66" t="str">
        <x:v>Editable display label. No exchange-rate or market-price assumptions.</x:v>
      </x:c>
      <x:c r="D20" s="3"/>
      <x:c r="E20" s="3"/>
      <x:c r="F20" s="3"/>
      <x:c r="G20" s="3"/>
      <x:c r="H20" s="3"/>
      <x:c r="I20" s="3"/>
      <x:c r="J20" s="3"/>
      <x:c r="K20" s="3"/>
      <x:c r="L20" s="3"/>
      <x:c r="M20" s="3"/>
      <x:c r="N20" s="3"/>
      <x:c r="O20" s="3"/>
      <x:c r="P20" s="3"/>
      <x:c r="Q20" s="3"/>
      <x:c r="R20" s="3"/>
    </x:row>
    <x:row r="21" ht="43" customHeight="1">
      <x:c r="A21" s="63" t="str">
        <x:v>Minutes per hour</x:v>
      </x:c>
      <x:c r="B21" s="45" t="n">
        <x:v>60</x:v>
      </x:c>
      <x:c r="C21" s="66" t="str">
        <x:v>Unit conversion.</x:v>
      </x:c>
      <x:c r="D21" s="3"/>
      <x:c r="E21" s="3"/>
      <x:c r="F21" s="3"/>
      <x:c r="G21" s="3"/>
      <x:c r="H21" s="3"/>
      <x:c r="I21" s="3"/>
      <x:c r="J21" s="3"/>
      <x:c r="K21" s="3"/>
      <x:c r="L21" s="3"/>
      <x:c r="M21" s="3"/>
      <x:c r="N21" s="3"/>
      <x:c r="O21" s="3"/>
      <x:c r="P21" s="3"/>
      <x:c r="Q21" s="3"/>
      <x:c r="R21" s="3"/>
    </x:row>
    <x:row r="22" ht="43" customHeight="1">
      <x:c r="A22" s="63" t="str">
        <x:v>Hours per day</x:v>
      </x:c>
      <x:c r="B22" s="45" t="n">
        <x:v>24</x:v>
      </x:c>
      <x:c r="C22" s="66" t="str">
        <x:v>Calendar-hour timestamp conversion.</x:v>
      </x:c>
      <x:c r="D22" s="3"/>
      <x:c r="E22" s="3"/>
      <x:c r="F22" s="3"/>
      <x:c r="G22" s="3"/>
      <x:c r="H22" s="3"/>
      <x:c r="I22" s="3"/>
      <x:c r="J22" s="3"/>
      <x:c r="K22" s="3"/>
      <x:c r="L22" s="3"/>
      <x:c r="M22" s="3"/>
      <x:c r="N22" s="3"/>
      <x:c r="O22" s="3"/>
      <x:c r="P22" s="3"/>
      <x:c r="Q22" s="3"/>
      <x:c r="R22" s="3"/>
    </x:row>
    <x:row r="23" ht="43" customHeight="1">
      <x:c r="A23" s="63" t="str">
        <x:v>FMEA mandatory severity</x:v>
      </x:c>
      <x:c r="B23" s="45" t="n">
        <x:v>4</x:v>
      </x:c>
      <x:c r="C23" s="66" t="str">
        <x:v>Original local guardrail: severity 4 or 5 requires review irrespective of product.</x:v>
      </x:c>
      <x:c r="D23" s="3"/>
      <x:c r="E23" s="3"/>
      <x:c r="F23" s="3"/>
      <x:c r="G23" s="3"/>
      <x:c r="H23" s="3"/>
      <x:c r="I23" s="3"/>
      <x:c r="J23" s="3"/>
      <x:c r="K23" s="3"/>
      <x:c r="L23" s="3"/>
      <x:c r="M23" s="3"/>
      <x:c r="N23" s="3"/>
      <x:c r="O23" s="3"/>
      <x:c r="P23" s="3"/>
      <x:c r="Q23" s="3"/>
      <x:c r="R23" s="3"/>
    </x:row>
    <x:row r="24" ht="43" customHeight="1">
      <x:c r="A24" s="63" t="str">
        <x:v>PICK benefit threshold</x:v>
      </x:c>
      <x:c r="B24" s="45" t="n">
        <x:v>3</x:v>
      </x:c>
      <x:c r="C24" s="66" t="str">
        <x:v>Original local 1-5 discussion scale; not validated.</x:v>
      </x:c>
      <x:c r="D24" s="3"/>
      <x:c r="E24" s="3"/>
      <x:c r="F24" s="3"/>
      <x:c r="G24" s="3"/>
      <x:c r="H24" s="3"/>
      <x:c r="I24" s="3"/>
      <x:c r="J24" s="3"/>
      <x:c r="K24" s="3"/>
      <x:c r="L24" s="3"/>
      <x:c r="M24" s="3"/>
      <x:c r="N24" s="3"/>
      <x:c r="O24" s="3"/>
      <x:c r="P24" s="3"/>
      <x:c r="Q24" s="3"/>
      <x:c r="R24" s="3"/>
    </x:row>
    <x:row r="25" ht="43" customHeight="1">
      <x:c r="A25" s="63" t="str">
        <x:v>PICK easy-effort maximum</x:v>
      </x:c>
      <x:c r="B25" s="45" t="n">
        <x:v>3</x:v>
      </x:c>
      <x:c r="C25" s="66" t="str">
        <x:v>Original local 1-5 discussion scale; not validated.</x:v>
      </x:c>
      <x:c r="D25" s="3"/>
      <x:c r="E25" s="3"/>
      <x:c r="F25" s="3"/>
      <x:c r="G25" s="3"/>
      <x:c r="H25" s="3"/>
      <x:c r="I25" s="3"/>
      <x:c r="J25" s="3"/>
      <x:c r="K25" s="3"/>
      <x:c r="L25" s="3"/>
      <x:c r="M25" s="3"/>
      <x:c r="N25" s="3"/>
      <x:c r="O25" s="3"/>
      <x:c r="P25" s="3"/>
      <x:c r="Q25" s="3"/>
      <x:c r="R25" s="3"/>
    </x:row>
    <x:row r="26" ht="43" customHeight="1">
      <x:c r="A26" s="63" t="str">
        <x:v>Measure family / unit</x:v>
      </x:c>
      <x:c r="B26" s="45"/>
      <x:c r="C26" s="66" t="str">
        <x:v>Describe family and unit before collecting data.</x:v>
      </x:c>
      <x:c r="D26" s="3"/>
      <x:c r="E26" s="3"/>
      <x:c r="F26" s="3"/>
      <x:c r="G26" s="3"/>
      <x:c r="H26" s="3"/>
      <x:c r="I26" s="3"/>
      <x:c r="J26" s="3"/>
      <x:c r="K26" s="3"/>
      <x:c r="L26" s="3"/>
      <x:c r="M26" s="3"/>
      <x:c r="N26" s="3"/>
      <x:c r="O26" s="3"/>
      <x:c r="P26" s="3"/>
      <x:c r="Q26" s="3"/>
      <x:c r="R26" s="3"/>
    </x:row>
    <x:row r="27" ht="43" customHeight="1">
      <x:c r="A27" s="63" t="str">
        <x:v>Date/time convention</x:v>
      </x:c>
      <x:c r="B27" s="45"/>
      <x:c r="C27" s="66" t="str">
        <x:v>State local time zone and whether measures use calendar or working time.</x:v>
      </x:c>
      <x:c r="D27" s="3"/>
      <x:c r="E27" s="3"/>
      <x:c r="F27" s="3"/>
      <x:c r="G27" s="3"/>
      <x:c r="H27" s="3"/>
      <x:c r="I27" s="3"/>
      <x:c r="J27" s="3"/>
      <x:c r="K27" s="3"/>
      <x:c r="L27" s="3"/>
      <x:c r="M27" s="3"/>
      <x:c r="N27" s="3"/>
      <x:c r="O27" s="3"/>
      <x:c r="P27" s="3"/>
      <x:c r="Q27" s="3"/>
      <x:c r="R27" s="3"/>
    </x:row>
    <x:row r="28" ht="43" customHeight="1">
      <x:c r="A28" s="63" t="str">
        <x:v>Data owner</x:v>
      </x:c>
      <x:c r="B28" s="45"/>
      <x:c r="C28" s="66" t="str">
        <x:v>Name the role responsible for definitions, access and retention.</x:v>
      </x:c>
      <x:c r="D28" s="3"/>
      <x:c r="E28" s="3"/>
      <x:c r="F28" s="3"/>
      <x:c r="G28" s="3"/>
      <x:c r="H28" s="3"/>
      <x:c r="I28" s="3"/>
      <x:c r="J28" s="3"/>
      <x:c r="K28" s="3"/>
      <x:c r="L28" s="3"/>
      <x:c r="M28" s="3"/>
      <x:c r="N28" s="3"/>
      <x:c r="O28" s="3"/>
      <x:c r="P28" s="3"/>
      <x:c r="Q28" s="3"/>
      <x:c r="R28" s="3"/>
    </x:row>
    <x:row r="29" ht="43" customHeight="1">
      <x:c r="A29" s="63" t="str">
        <x:v>Workbook version</x:v>
      </x:c>
      <x:c r="B29" s="45"/>
      <x:c r="C29" s="66" t="str">
        <x:v>Maintain a controlled local version.</x:v>
      </x:c>
      <x:c r="D29" s="3"/>
      <x:c r="E29" s="3"/>
      <x:c r="F29" s="3"/>
      <x:c r="G29" s="3"/>
      <x:c r="H29" s="3"/>
      <x:c r="I29" s="3"/>
      <x:c r="J29" s="3"/>
      <x:c r="K29" s="3"/>
      <x:c r="L29" s="3"/>
      <x:c r="M29" s="3"/>
      <x:c r="N29" s="3"/>
      <x:c r="O29" s="3"/>
      <x:c r="P29" s="3"/>
      <x:c r="Q29" s="3"/>
      <x:c r="R29" s="3"/>
    </x:row>
    <x:row r="30" ht="43" customHeight="1">
      <x:c r="A30" s="63" t="str">
        <x:v>Decision authority</x:v>
      </x:c>
      <x:c r="B30" s="45"/>
      <x:c r="C30" s="66" t="str">
        <x:v>Name the role that can approve the next test or implementation.</x:v>
      </x:c>
      <x:c r="D30" s="3"/>
      <x:c r="E30" s="3"/>
      <x:c r="F30" s="3"/>
      <x:c r="G30" s="3"/>
      <x:c r="H30" s="3"/>
      <x:c r="I30" s="3"/>
      <x:c r="J30" s="3"/>
      <x:c r="K30" s="3"/>
      <x:c r="L30" s="3"/>
      <x:c r="M30" s="3"/>
      <x:c r="N30" s="3"/>
      <x:c r="O30" s="3"/>
      <x:c r="P30" s="3"/>
      <x:c r="Q30" s="3"/>
      <x:c r="R30" s="3"/>
    </x:row>
    <x:row r="31" ht="43" customHeight="1">
      <x:c r="A31" s="63" t="str">
        <x:v>As-of timestamp</x:v>
      </x:c>
      <x:c r="B31" s="68"/>
      <x:c r="C31" s="66" t="str">
        <x:v>Enter a real date/time for open-case age and overdue review; do not assume today.</x:v>
      </x:c>
      <x:c r="D31" s="3"/>
      <x:c r="E31" s="3"/>
      <x:c r="F31" s="3"/>
      <x:c r="G31" s="3"/>
      <x:c r="H31" s="3"/>
      <x:c r="I31" s="3"/>
      <x:c r="J31" s="3"/>
      <x:c r="K31" s="3"/>
      <x:c r="L31" s="3"/>
      <x:c r="M31" s="3"/>
      <x:c r="N31" s="3"/>
      <x:c r="O31" s="3"/>
      <x:c r="P31" s="3"/>
      <x:c r="Q31" s="3"/>
      <x:c r="R31" s="3"/>
    </x:row>
    <x:row r="32" ht="20" customHeight="1">
      <x:c r="A32" s="3"/>
      <x:c r="B32" s="3"/>
      <x:c r="C32" s="3"/>
      <x:c r="D32" s="3"/>
      <x:c r="E32" s="3"/>
      <x:c r="F32" s="3"/>
      <x:c r="G32" s="3"/>
      <x:c r="H32" s="3"/>
      <x:c r="I32" s="3"/>
      <x:c r="J32" s="3"/>
      <x:c r="K32" s="3"/>
      <x:c r="L32" s="3"/>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17" t="str">
        <x:v>Method constants and screening rules should only be changed by a competent reviewer who also updates the manual interpretation and tests. The baseline calculator layouts remain fixed at 20 observations; changing B12 does not resize them. Live records and examples are separate.</x:v>
      </x:c>
      <x:c r="B34" s="17"/>
      <x:c r="C34" s="17"/>
      <x:c r="D34" s="17"/>
      <x:c r="E34" s="17"/>
      <x:c r="F34" s="17"/>
      <x:c r="G34" s="17"/>
      <x:c r="H34" s="17"/>
      <x:c r="I34" s="17"/>
      <x:c r="J34" s="17"/>
      <x:c r="K34" s="17"/>
      <x:c r="L34" s="17"/>
      <x:c r="M34" s="3"/>
      <x:c r="N34" s="3"/>
      <x:c r="O34" s="3"/>
      <x:c r="P34" s="3"/>
      <x:c r="Q34" s="3"/>
      <x:c r="R34" s="3"/>
    </x:row>
    <x:row r="35" ht="20" customHeight="1">
      <x:c r="A35" s="17"/>
      <x:c r="B35" s="17"/>
      <x:c r="C35" s="17"/>
      <x:c r="D35" s="17"/>
      <x:c r="E35" s="17"/>
      <x:c r="F35" s="17"/>
      <x:c r="G35" s="17"/>
      <x:c r="H35" s="17"/>
      <x:c r="I35" s="17"/>
      <x:c r="J35" s="17"/>
      <x:c r="K35" s="17"/>
      <x:c r="L35" s="17"/>
      <x:c r="M35" s="3"/>
      <x:c r="N35" s="3"/>
      <x:c r="O35" s="3"/>
      <x:c r="P35" s="3"/>
      <x:c r="Q35" s="3"/>
      <x:c r="R35" s="3"/>
    </x:row>
    <x:row r="36" ht="20" customHeight="1">
      <x:c r="A36" s="17"/>
      <x:c r="B36" s="17"/>
      <x:c r="C36" s="17"/>
      <x:c r="D36" s="17"/>
      <x:c r="E36" s="17"/>
      <x:c r="F36" s="17"/>
      <x:c r="G36" s="17"/>
      <x:c r="H36" s="17"/>
      <x:c r="I36" s="17"/>
      <x:c r="J36" s="17"/>
      <x:c r="K36" s="17"/>
      <x:c r="L36" s="17"/>
      <x:c r="M36" s="3"/>
      <x:c r="N36" s="3"/>
      <x:c r="O36" s="3"/>
      <x:c r="P36" s="3"/>
      <x:c r="Q36" s="3"/>
      <x:c r="R36" s="3"/>
    </x:row>
    <x:row r="37" ht="20" customHeight="1">
      <x:c r="A37" s="17"/>
      <x:c r="B37" s="17"/>
      <x:c r="C37" s="17"/>
      <x:c r="D37" s="17"/>
      <x:c r="E37" s="17"/>
      <x:c r="F37" s="17"/>
      <x:c r="G37" s="17"/>
      <x:c r="H37" s="17"/>
      <x:c r="I37" s="17"/>
      <x:c r="J37" s="17"/>
      <x:c r="K37" s="17"/>
      <x:c r="L37" s="17"/>
      <x:c r="M37" s="3"/>
      <x:c r="N37" s="3"/>
      <x:c r="O37" s="3"/>
      <x:c r="P37" s="3"/>
      <x:c r="Q37" s="3"/>
      <x:c r="R37" s="3"/>
    </x:row>
    <x:row r="38" ht="20" customHeight="1">
      <x:c r="A38" s="3"/>
      <x:c r="B38" s="3"/>
      <x:c r="C38" s="3"/>
      <x:c r="D38" s="3"/>
      <x:c r="E38" s="3"/>
      <x:c r="F38" s="3"/>
      <x:c r="G38" s="3"/>
      <x:c r="H38" s="3"/>
      <x:c r="I38" s="3"/>
      <x:c r="J38" s="3"/>
      <x:c r="K38" s="3"/>
      <x:c r="L38" s="3"/>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20" customHeight="1">
      <x:c r="A42" s="3"/>
      <x:c r="B42" s="3"/>
      <x:c r="C42" s="3"/>
      <x:c r="D42" s="3"/>
      <x:c r="E42" s="3"/>
      <x:c r="F42" s="3"/>
      <x:c r="G42" s="3"/>
      <x:c r="H42" s="3"/>
      <x:c r="I42" s="3"/>
      <x:c r="J42" s="3"/>
      <x:c r="K42" s="3"/>
      <x:c r="L42" s="3"/>
      <x:c r="M42" s="3"/>
      <x:c r="N42" s="3"/>
      <x:c r="O42" s="3"/>
      <x:c r="P42" s="3"/>
      <x:c r="Q42" s="3"/>
      <x:c r="R42" s="3"/>
    </x:row>
    <x:row r="43" ht="20" customHeight="1">
      <x:c r="A43" s="3"/>
      <x:c r="B43" s="3"/>
      <x:c r="C43" s="3"/>
      <x:c r="D43" s="3"/>
      <x:c r="E43" s="3"/>
      <x:c r="F43" s="3"/>
      <x:c r="G43" s="3"/>
      <x:c r="H43" s="3"/>
      <x:c r="I43" s="3"/>
      <x:c r="J43" s="3"/>
      <x:c r="K43" s="3"/>
      <x:c r="L43" s="3"/>
      <x:c r="M43" s="3"/>
      <x:c r="N43" s="3"/>
      <x:c r="O43" s="3"/>
      <x:c r="P43" s="3"/>
      <x:c r="Q43" s="3"/>
      <x:c r="R43" s="3"/>
    </x:row>
    <x:row r="44" ht="20" customHeight="1">
      <x:c r="A44" s="3"/>
      <x:c r="B44" s="3"/>
      <x:c r="C44" s="3"/>
      <x:c r="D44" s="3"/>
      <x:c r="E44" s="3"/>
      <x:c r="F44" s="3"/>
      <x:c r="G44" s="3"/>
      <x:c r="H44" s="3"/>
      <x:c r="I44" s="3"/>
      <x:c r="J44" s="3"/>
      <x:c r="K44" s="3"/>
      <x:c r="L44" s="3"/>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3"/>
      <x:c r="B47" s="3"/>
      <x:c r="C47" s="3"/>
      <x:c r="D47" s="3"/>
      <x:c r="E47" s="3"/>
      <x:c r="F47" s="3"/>
      <x:c r="G47" s="3"/>
      <x:c r="H47" s="3"/>
      <x:c r="I47" s="3"/>
      <x:c r="J47" s="3"/>
      <x:c r="K47" s="3"/>
      <x:c r="L47" s="3"/>
      <x:c r="M47" s="3"/>
      <x:c r="N47" s="3"/>
      <x:c r="O47" s="3"/>
      <x:c r="P47" s="3"/>
      <x:c r="Q47" s="3"/>
      <x:c r="R47" s="3"/>
    </x:row>
    <x:row r="48" ht="20" customHeight="1">
      <x:c r="A48" s="3"/>
      <x:c r="B48" s="3"/>
      <x:c r="C48" s="3"/>
      <x:c r="D48" s="3"/>
      <x:c r="E48" s="3"/>
      <x:c r="F48" s="3"/>
      <x:c r="G48" s="3"/>
      <x:c r="H48" s="3"/>
      <x:c r="I48" s="3"/>
      <x:c r="J48" s="3"/>
      <x:c r="K48" s="3"/>
      <x:c r="L48" s="3"/>
      <x:c r="M48" s="3"/>
      <x:c r="N48" s="3"/>
      <x:c r="O48" s="3"/>
      <x:c r="P48" s="3"/>
      <x:c r="Q48" s="3"/>
      <x:c r="R48" s="3"/>
    </x:row>
    <x:row r="49" ht="20" customHeight="1">
      <x:c r="A49" s="3"/>
      <x:c r="B49" s="3"/>
      <x:c r="C49" s="3"/>
      <x:c r="D49" s="3"/>
      <x:c r="E49" s="3"/>
      <x:c r="F49" s="3"/>
      <x:c r="G49" s="3"/>
      <x:c r="H49" s="3"/>
      <x:c r="I49" s="3"/>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34:L37"/>
  </x:mergeCells>
  <x:pageMargins left="0.7" right="0.7" top="0.75" bottom="0.75" header="0.3" footer="0.3"/>
</x:worksheet>
</file>

<file path=xl/worksheets/sheet3.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0" hidden="0" customWidth="1"/>
    <x:col min="2" max="2" width="25" hidden="0" customWidth="1"/>
    <x:col min="3" max="3" width="48" hidden="0" customWidth="1"/>
    <x:col min="4" max="4" width="32" hidden="0" customWidth="1"/>
    <x:col min="5" max="5" width="12" hidden="0" customWidth="1"/>
    <x:col min="6" max="6" width="12" hidden="0" customWidth="1"/>
    <x:col min="7" max="7" width="14" hidden="0" customWidth="1"/>
    <x:col min="8" max="8" width="18"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HR DELIVERY | 02 Tool Index</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Process Improvement Framework &amp; Toolkit - companion working records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Code</x:v>
      </x:c>
      <x:c r="B9" s="77" t="str">
        <x:v>Part / section</x:v>
      </x:c>
      <x:c r="C9" s="77" t="str">
        <x:v>Tool</x:v>
      </x:c>
      <x:c r="D9" s="77" t="str">
        <x:v>Open worksheet</x:v>
      </x:c>
      <x:c r="E9" s="77" t="str">
        <x:v>Guide page</x:v>
      </x:c>
      <x:c r="F9" s="77" t="str">
        <x:v>Form page</x:v>
      </x:c>
      <x:c r="G9" s="77" t="str">
        <x:v>Example page</x:v>
      </x:c>
      <x:c r="H9" s="77" t="str">
        <x:v>Format</x:v>
      </x:c>
      <x:c r="I9" s="3"/>
      <x:c r="J9" s="3"/>
      <x:c r="K9" s="3"/>
      <x:c r="L9" s="3"/>
      <x:c r="M9" s="3"/>
      <x:c r="N9" s="3"/>
      <x:c r="O9" s="3"/>
      <x:c r="P9" s="3"/>
      <x:c r="Q9" s="3"/>
      <x:c r="R9" s="3"/>
    </x:row>
    <x:row r="10" ht="38" customHeight="1">
      <x:c r="A10" s="46" t="str">
        <x:v>P01</x:v>
      </x:c>
      <x:c r="B10" s="46" t="str">
        <x:v>1 / Plan</x:v>
      </x:c>
      <x:c r="C10" s="46" t="str">
        <x:v>Improvement charter</x:v>
      </x:c>
      <x:c r="D10" s="46" t="str">
        <x:f>IFERROR(HYPERLINK("#'P01 Charter'!A1","P01 Charter"),"P01 Charter")</x:f>
        <x:v>P01 Charter</x:v>
      </x:c>
      <x:c r="E10" s="188" t="n">
        <x:v>27</x:v>
      </x:c>
      <x:c r="F10" s="188" t="n">
        <x:v>28</x:v>
      </x:c>
      <x:c r="G10" s="188" t="n">
        <x:v>29</x:v>
      </x:c>
      <x:c r="H10" s="46" t="str">
        <x:v>canvas</x:v>
      </x:c>
      <x:c r="I10" s="3"/>
      <x:c r="J10" s="3"/>
      <x:c r="K10" s="3"/>
      <x:c r="L10" s="3"/>
      <x:c r="M10" s="3"/>
      <x:c r="N10" s="3"/>
      <x:c r="O10" s="3"/>
      <x:c r="P10" s="3"/>
      <x:c r="Q10" s="3"/>
      <x:c r="R10" s="3"/>
    </x:row>
    <x:row r="11" ht="38" customHeight="1">
      <x:c r="A11" s="46" t="str">
        <x:v>P02</x:v>
      </x:c>
      <x:c r="B11" s="46" t="str">
        <x:v>1 / Plan</x:v>
      </x:c>
      <x:c r="C11" s="46" t="str">
        <x:v>Problem statement and measurable aim</x:v>
      </x:c>
      <x:c r="D11" s="46" t="str">
        <x:f>IFERROR(HYPERLINK("#'P02 Aim'!A1","P02 Aim"),"P02 Aim")</x:f>
        <x:v>P02 Aim</x:v>
      </x:c>
      <x:c r="E11" s="188" t="n">
        <x:v>30</x:v>
      </x:c>
      <x:c r="F11" s="188" t="n">
        <x:v>31</x:v>
      </x:c>
      <x:c r="G11" s="188" t="n">
        <x:v>32</x:v>
      </x:c>
      <x:c r="H11" s="46" t="str">
        <x:v>canvas</x:v>
      </x:c>
      <x:c r="I11" s="3"/>
      <x:c r="J11" s="3"/>
      <x:c r="K11" s="3"/>
      <x:c r="L11" s="3"/>
      <x:c r="M11" s="3"/>
      <x:c r="N11" s="3"/>
      <x:c r="O11" s="3"/>
      <x:c r="P11" s="3"/>
      <x:c r="Q11" s="3"/>
      <x:c r="R11" s="3"/>
    </x:row>
    <x:row r="12" ht="38" customHeight="1">
      <x:c r="A12" s="46" t="str">
        <x:v>P03</x:v>
      </x:c>
      <x:c r="B12" s="46" t="str">
        <x:v>1 / Plan</x:v>
      </x:c>
      <x:c r="C12" s="46" t="str">
        <x:v>Voice-of-user interview</x:v>
      </x:c>
      <x:c r="D12" s="46" t="str">
        <x:f>IFERROR(HYPERLINK("#'P03 User Interview'!A1","P03 User Interview"),"P03 User Interview")</x:f>
        <x:v>P03 User Interview</x:v>
      </x:c>
      <x:c r="E12" s="188" t="n">
        <x:v>33</x:v>
      </x:c>
      <x:c r="F12" s="188" t="n">
        <x:v>34</x:v>
      </x:c>
      <x:c r="G12" s="188" t="n">
        <x:v>35</x:v>
      </x:c>
      <x:c r="H12" s="46" t="str">
        <x:v>script</x:v>
      </x:c>
      <x:c r="I12" s="3"/>
      <x:c r="J12" s="3"/>
      <x:c r="K12" s="3"/>
      <x:c r="L12" s="3"/>
      <x:c r="M12" s="3"/>
      <x:c r="N12" s="3"/>
      <x:c r="O12" s="3"/>
      <x:c r="P12" s="3"/>
      <x:c r="Q12" s="3"/>
      <x:c r="R12" s="3"/>
    </x:row>
    <x:row r="13" ht="38" customHeight="1">
      <x:c r="A13" s="46" t="str">
        <x:v>P04</x:v>
      </x:c>
      <x:c r="B13" s="46" t="str">
        <x:v>1 / Plan</x:v>
      </x:c>
      <x:c r="C13" s="46" t="str">
        <x:v>SIPOC and process boundary</x:v>
      </x:c>
      <x:c r="D13" s="46" t="str">
        <x:f>IFERROR(HYPERLINK("#'P04 SIPOC'!A1","P04 SIPOC"),"P04 SIPOC")</x:f>
        <x:v>P04 SIPOC</x:v>
      </x:c>
      <x:c r="E13" s="188" t="n">
        <x:v>38</x:v>
      </x:c>
      <x:c r="F13" s="188" t="n">
        <x:v>39</x:v>
      </x:c>
      <x:c r="G13" s="188" t="n">
        <x:v>40</x:v>
      </x:c>
      <x:c r="H13" s="46" t="str">
        <x:v>diagram</x:v>
      </x:c>
      <x:c r="I13" s="3"/>
      <x:c r="J13" s="3"/>
      <x:c r="K13" s="3"/>
      <x:c r="L13" s="3"/>
      <x:c r="M13" s="3"/>
      <x:c r="N13" s="3"/>
      <x:c r="O13" s="3"/>
      <x:c r="P13" s="3"/>
      <x:c r="Q13" s="3"/>
      <x:c r="R13" s="3"/>
    </x:row>
    <x:row r="14" ht="38" customHeight="1">
      <x:c r="A14" s="46" t="str">
        <x:v>P05</x:v>
      </x:c>
      <x:c r="B14" s="46" t="str">
        <x:v>1 / Plan</x:v>
      </x:c>
      <x:c r="C14" s="46" t="str">
        <x:v>Stakeholder and involvement plan</x:v>
      </x:c>
      <x:c r="D14" s="46" t="str">
        <x:f>IFERROR(HYPERLINK("#'P05 Stakeholders'!A1","P05 Stakeholders"),"P05 Stakeholders")</x:f>
        <x:v>P05 Stakeholders</x:v>
      </x:c>
      <x:c r="E14" s="188" t="n">
        <x:v>41</x:v>
      </x:c>
      <x:c r="F14" s="188" t="n">
        <x:v>42</x:v>
      </x:c>
      <x:c r="G14" s="188" t="n">
        <x:v>43</x:v>
      </x:c>
      <x:c r="H14" s="46" t="str">
        <x:v>register</x:v>
      </x:c>
      <x:c r="I14" s="3"/>
      <x:c r="J14" s="3"/>
      <x:c r="K14" s="3"/>
      <x:c r="L14" s="3"/>
      <x:c r="M14" s="3"/>
      <x:c r="N14" s="3"/>
      <x:c r="O14" s="3"/>
      <x:c r="P14" s="3"/>
      <x:c r="Q14" s="3"/>
      <x:c r="R14" s="3"/>
    </x:row>
    <x:row r="15" ht="38" customHeight="1">
      <x:c r="A15" s="46" t="str">
        <x:v>P06</x:v>
      </x:c>
      <x:c r="B15" s="46" t="str">
        <x:v>1 / Plan</x:v>
      </x:c>
      <x:c r="C15" s="46" t="str">
        <x:v>Measure definition and data dictionary</x:v>
      </x:c>
      <x:c r="D15" s="46" t="str">
        <x:f>IFERROR(HYPERLINK("#'P06 Measures'!A1","P06 Measures"),"P06 Measures")</x:f>
        <x:v>P06 Measures</x:v>
      </x:c>
      <x:c r="E15" s="188" t="n">
        <x:v>44</x:v>
      </x:c>
      <x:c r="F15" s="188" t="n">
        <x:v>45</x:v>
      </x:c>
      <x:c r="G15" s="188" t="n">
        <x:v>46</x:v>
      </x:c>
      <x:c r="H15" s="46" t="str">
        <x:v>register</x:v>
      </x:c>
      <x:c r="I15" s="3"/>
      <x:c r="J15" s="3"/>
      <x:c r="K15" s="3"/>
      <x:c r="L15" s="3"/>
      <x:c r="M15" s="3"/>
      <x:c r="N15" s="3"/>
      <x:c r="O15" s="3"/>
      <x:c r="P15" s="3"/>
      <x:c r="Q15" s="3"/>
      <x:c r="R15" s="3"/>
    </x:row>
    <x:row r="16" ht="38" customHeight="1">
      <x:c r="A16" s="46" t="str">
        <x:v>P07</x:v>
      </x:c>
      <x:c r="B16" s="46" t="str">
        <x:v>1 / Plan</x:v>
      </x:c>
      <x:c r="C16" s="46" t="str">
        <x:v>Baseline, sampling and data-quality plan</x:v>
      </x:c>
      <x:c r="D16" s="46" t="str">
        <x:f>IFERROR(HYPERLINK("#'P07 Baseline Plan'!A1","P07 Baseline Plan"),"P07 Baseline Plan")</x:f>
        <x:v>P07 Baseline Plan</x:v>
      </x:c>
      <x:c r="E16" s="188" t="n">
        <x:v>47</x:v>
      </x:c>
      <x:c r="F16" s="188" t="n">
        <x:v>48</x:v>
      </x:c>
      <x:c r="G16" s="188" t="n">
        <x:v>49</x:v>
      </x:c>
      <x:c r="H16" s="46" t="str">
        <x:v>canvas</x:v>
      </x:c>
      <x:c r="I16" s="3"/>
      <x:c r="J16" s="3"/>
      <x:c r="K16" s="3"/>
      <x:c r="L16" s="3"/>
      <x:c r="M16" s="3"/>
      <x:c r="N16" s="3"/>
      <x:c r="O16" s="3"/>
      <x:c r="P16" s="3"/>
      <x:c r="Q16" s="3"/>
      <x:c r="R16" s="3"/>
    </x:row>
    <x:row r="17" ht="38" customHeight="1">
      <x:c r="A17" s="46" t="str">
        <x:v>P08</x:v>
      </x:c>
      <x:c r="B17" s="46" t="str">
        <x:v>1 / Plan</x:v>
      </x:c>
      <x:c r="C17" s="46" t="str">
        <x:v>Driver diagram and change theory</x:v>
      </x:c>
      <x:c r="D17" s="46" t="str">
        <x:f>IFERROR(HYPERLINK("#'P08 Driver Diagram'!A1","P08 Driver Diagram"),"P08 Driver Diagram")</x:f>
        <x:v>P08 Driver Diagram</x:v>
      </x:c>
      <x:c r="E17" s="188" t="n">
        <x:v>50</x:v>
      </x:c>
      <x:c r="F17" s="188" t="n">
        <x:v>51</x:v>
      </x:c>
      <x:c r="G17" s="188" t="n">
        <x:v>52</x:v>
      </x:c>
      <x:c r="H17" s="46" t="str">
        <x:v>diagram</x:v>
      </x:c>
      <x:c r="I17" s="3"/>
      <x:c r="J17" s="3"/>
      <x:c r="K17" s="3"/>
      <x:c r="L17" s="3"/>
      <x:c r="M17" s="3"/>
      <x:c r="N17" s="3"/>
      <x:c r="O17" s="3"/>
      <x:c r="P17" s="3"/>
      <x:c r="Q17" s="3"/>
      <x:c r="R17" s="3"/>
    </x:row>
    <x:row r="18" ht="38" customHeight="1">
      <x:c r="A18" s="46" t="str">
        <x:v>P09</x:v>
      </x:c>
      <x:c r="B18" s="46" t="str">
        <x:v>1 / Plan</x:v>
      </x:c>
      <x:c r="C18" s="46" t="str">
        <x:v>Fishbone and cause-evidence map</x:v>
      </x:c>
      <x:c r="D18" s="46" t="str">
        <x:f>IFERROR(HYPERLINK("#'P09 Fishbone'!A1","P09 Fishbone"),"P09 Fishbone")</x:f>
        <x:v>P09 Fishbone</x:v>
      </x:c>
      <x:c r="E18" s="188" t="n">
        <x:v>53</x:v>
      </x:c>
      <x:c r="F18" s="188" t="n">
        <x:v>54</x:v>
      </x:c>
      <x:c r="G18" s="188" t="n">
        <x:v>55</x:v>
      </x:c>
      <x:c r="H18" s="46" t="str">
        <x:v>diagram</x:v>
      </x:c>
      <x:c r="I18" s="3"/>
      <x:c r="J18" s="3"/>
      <x:c r="K18" s="3"/>
      <x:c r="L18" s="3"/>
      <x:c r="M18" s="3"/>
      <x:c r="N18" s="3"/>
      <x:c r="O18" s="3"/>
      <x:c r="P18" s="3"/>
      <x:c r="Q18" s="3"/>
      <x:c r="R18" s="3"/>
    </x:row>
    <x:row r="19" ht="38" customHeight="1">
      <x:c r="A19" s="46" t="str">
        <x:v>P10</x:v>
      </x:c>
      <x:c r="B19" s="46" t="str">
        <x:v>1 / Plan</x:v>
      </x:c>
      <x:c r="C19" s="46" t="str">
        <x:v>Five Whys and verification trail</x:v>
      </x:c>
      <x:c r="D19" s="46" t="str">
        <x:f>IFERROR(HYPERLINK("#'P10 Five Whys'!A1","P10 Five Whys"),"P10 Five Whys")</x:f>
        <x:v>P10 Five Whys</x:v>
      </x:c>
      <x:c r="E19" s="188" t="n">
        <x:v>56</x:v>
      </x:c>
      <x:c r="F19" s="188" t="n">
        <x:v>57</x:v>
      </x:c>
      <x:c r="G19" s="188" t="n">
        <x:v>58</x:v>
      </x:c>
      <x:c r="H19" s="46" t="str">
        <x:v>diagram</x:v>
      </x:c>
      <x:c r="I19" s="3"/>
      <x:c r="J19" s="3"/>
      <x:c r="K19" s="3"/>
      <x:c r="L19" s="3"/>
      <x:c r="M19" s="3"/>
      <x:c r="N19" s="3"/>
      <x:c r="O19" s="3"/>
      <x:c r="P19" s="3"/>
      <x:c r="Q19" s="3"/>
      <x:c r="R19" s="3"/>
    </x:row>
    <x:row r="20" ht="38" customHeight="1">
      <x:c r="A20" s="46" t="str">
        <x:v>P11</x:v>
      </x:c>
      <x:c r="B20" s="46" t="str">
        <x:v>1 / Plan</x:v>
      </x:c>
      <x:c r="C20" s="46" t="str">
        <x:v>Change-idea shortlist and PICK matrix</x:v>
      </x:c>
      <x:c r="D20" s="46" t="str">
        <x:f>IFERROR(HYPERLINK("#'P11 PICK'!A1","P11 PICK"),"P11 PICK")</x:f>
        <x:v>P11 PICK</x:v>
      </x:c>
      <x:c r="E20" s="188" t="n">
        <x:v>59</x:v>
      </x:c>
      <x:c r="F20" s="188" t="n">
        <x:v>60</x:v>
      </x:c>
      <x:c r="G20" s="188" t="n">
        <x:v>61</x:v>
      </x:c>
      <x:c r="H20" s="46" t="str">
        <x:v>diagram</x:v>
      </x:c>
      <x:c r="I20" s="3"/>
      <x:c r="J20" s="3"/>
      <x:c r="K20" s="3"/>
      <x:c r="L20" s="3"/>
      <x:c r="M20" s="3"/>
      <x:c r="N20" s="3"/>
      <x:c r="O20" s="3"/>
      <x:c r="P20" s="3"/>
      <x:c r="Q20" s="3"/>
      <x:c r="R20" s="3"/>
    </x:row>
    <x:row r="21" ht="38" customHeight="1">
      <x:c r="A21" s="46" t="str">
        <x:v>P12</x:v>
      </x:c>
      <x:c r="B21" s="46" t="str">
        <x:v>1 / Plan</x:v>
      </x:c>
      <x:c r="C21" s="46" t="str">
        <x:v>Test safeguards and stop rules</x:v>
      </x:c>
      <x:c r="D21" s="46" t="str">
        <x:f>IFERROR(HYPERLINK("#'P12 Safeguards'!A1","P12 Safeguards"),"P12 Safeguards")</x:f>
        <x:v>P12 Safeguards</x:v>
      </x:c>
      <x:c r="E21" s="188" t="n">
        <x:v>62</x:v>
      </x:c>
      <x:c r="F21" s="188" t="n">
        <x:v>63</x:v>
      </x:c>
      <x:c r="G21" s="188" t="n">
        <x:v>64</x:v>
      </x:c>
      <x:c r="H21" s="46" t="str">
        <x:v>register</x:v>
      </x:c>
      <x:c r="I21" s="3"/>
      <x:c r="J21" s="3"/>
      <x:c r="K21" s="3"/>
      <x:c r="L21" s="3"/>
      <x:c r="M21" s="3"/>
      <x:c r="N21" s="3"/>
      <x:c r="O21" s="3"/>
      <x:c r="P21" s="3"/>
      <x:c r="Q21" s="3"/>
      <x:c r="R21" s="3"/>
    </x:row>
    <x:row r="22" ht="38" customHeight="1">
      <x:c r="A22" s="46" t="str">
        <x:v>P13</x:v>
      </x:c>
      <x:c r="B22" s="46" t="str">
        <x:v>1 / Plan</x:v>
      </x:c>
      <x:c r="C22" s="46" t="str">
        <x:v>PDSA test plan and prediction</x:v>
      </x:c>
      <x:c r="D22" s="46" t="str">
        <x:f>IFERROR(HYPERLINK("#'P13 Test Plan'!A1","P13 Test Plan"),"P13 Test Plan")</x:f>
        <x:v>P13 Test Plan</x:v>
      </x:c>
      <x:c r="E22" s="188" t="n">
        <x:v>65</x:v>
      </x:c>
      <x:c r="F22" s="188" t="n">
        <x:v>66</x:v>
      </x:c>
      <x:c r="G22" s="188" t="n">
        <x:v>67</x:v>
      </x:c>
      <x:c r="H22" s="46" t="str">
        <x:v>pdsa</x:v>
      </x:c>
      <x:c r="I22" s="3"/>
      <x:c r="J22" s="3"/>
      <x:c r="K22" s="3"/>
      <x:c r="L22" s="3"/>
      <x:c r="M22" s="3"/>
      <x:c r="N22" s="3"/>
      <x:c r="O22" s="3"/>
      <x:c r="P22" s="3"/>
      <x:c r="Q22" s="3"/>
      <x:c r="R22" s="3"/>
    </x:row>
    <x:row r="23" ht="38" customHeight="1">
      <x:c r="A23" s="46" t="str">
        <x:v>P14</x:v>
      </x:c>
      <x:c r="B23" s="46" t="str">
        <x:v>1 / Plan</x:v>
      </x:c>
      <x:c r="C23" s="46" t="str">
        <x:v>Linked-cycle roadmap</x:v>
      </x:c>
      <x:c r="D23" s="46" t="str">
        <x:f>IFERROR(HYPERLINK("#'P14 Cycle Roadmap'!A1","P14 Cycle Roadmap"),"P14 Cycle Roadmap")</x:f>
        <x:v>P14 Cycle Roadmap</x:v>
      </x:c>
      <x:c r="E23" s="188" t="n">
        <x:v>68</x:v>
      </x:c>
      <x:c r="F23" s="188" t="n">
        <x:v>69</x:v>
      </x:c>
      <x:c r="G23" s="188" t="n">
        <x:v>70</x:v>
      </x:c>
      <x:c r="H23" s="46" t="str">
        <x:v>register</x:v>
      </x:c>
      <x:c r="I23" s="3"/>
      <x:c r="J23" s="3"/>
      <x:c r="K23" s="3"/>
      <x:c r="L23" s="3"/>
      <x:c r="M23" s="3"/>
      <x:c r="N23" s="3"/>
      <x:c r="O23" s="3"/>
      <x:c r="P23" s="3"/>
      <x:c r="Q23" s="3"/>
      <x:c r="R23" s="3"/>
    </x:row>
    <x:row r="24" ht="38" customHeight="1">
      <x:c r="A24" s="46" t="str">
        <x:v>D01</x:v>
      </x:c>
      <x:c r="B24" s="46" t="str">
        <x:v>1 / Do</x:v>
      </x:c>
      <x:c r="C24" s="46" t="str">
        <x:v>Complete PDSA cycle record</x:v>
      </x:c>
      <x:c r="D24" s="46" t="str">
        <x:f>IFERROR(HYPERLINK("#'D01 PDSA Record'!A1","D01 PDSA Record"),"D01 PDSA Record")</x:f>
        <x:v>D01 PDSA Record</x:v>
      </x:c>
      <x:c r="E24" s="188" t="n">
        <x:v>74</x:v>
      </x:c>
      <x:c r="F24" s="188" t="n">
        <x:v>75</x:v>
      </x:c>
      <x:c r="G24" s="188" t="n">
        <x:v>76</x:v>
      </x:c>
      <x:c r="H24" s="46" t="str">
        <x:v>pdsa</x:v>
      </x:c>
      <x:c r="I24" s="3"/>
      <x:c r="J24" s="3"/>
      <x:c r="K24" s="3"/>
      <x:c r="L24" s="3"/>
      <x:c r="M24" s="3"/>
      <x:c r="N24" s="3"/>
      <x:c r="O24" s="3"/>
      <x:c r="P24" s="3"/>
      <x:c r="Q24" s="3"/>
      <x:c r="R24" s="3"/>
    </x:row>
    <x:row r="25" ht="38" customHeight="1">
      <x:c r="A25" s="46" t="str">
        <x:v>D02</x:v>
      </x:c>
      <x:c r="B25" s="46" t="str">
        <x:v>1 / Do</x:v>
      </x:c>
      <x:c r="C25" s="46" t="str">
        <x:v>Test-readiness briefing</x:v>
      </x:c>
      <x:c r="D25" s="46" t="str">
        <x:f>IFERROR(HYPERLINK("#'D02 Readiness Brief'!A1","D02 Readiness Brief"),"D02 Readiness Brief")</x:f>
        <x:v>D02 Readiness Brief</x:v>
      </x:c>
      <x:c r="E25" s="188" t="n">
        <x:v>77</x:v>
      </x:c>
      <x:c r="F25" s="188" t="n">
        <x:v>78</x:v>
      </x:c>
      <x:c r="G25" s="188" t="n">
        <x:v>79</x:v>
      </x:c>
      <x:c r="H25" s="46" t="str">
        <x:v>checklist</x:v>
      </x:c>
      <x:c r="I25" s="3"/>
      <x:c r="J25" s="3"/>
      <x:c r="K25" s="3"/>
      <x:c r="L25" s="3"/>
      <x:c r="M25" s="3"/>
      <x:c r="N25" s="3"/>
      <x:c r="O25" s="3"/>
      <x:c r="P25" s="3"/>
      <x:c r="Q25" s="3"/>
      <x:c r="R25" s="3"/>
    </x:row>
    <x:row r="26" ht="38" customHeight="1">
      <x:c r="A26" s="46" t="str">
        <x:v>D03</x:v>
      </x:c>
      <x:c r="B26" s="46" t="str">
        <x:v>1 / Do</x:v>
      </x:c>
      <x:c r="C26" s="46" t="str">
        <x:v>Observation and time-study sheet</x:v>
      </x:c>
      <x:c r="D26" s="46" t="str">
        <x:f>IFERROR(HYPERLINK("#'D03 Time Study'!A1","D03 Time Study"),"D03 Time Study")</x:f>
        <x:v>D03 Time Study</x:v>
      </x:c>
      <x:c r="E26" s="188" t="n">
        <x:v>80</x:v>
      </x:c>
      <x:c r="F26" s="188" t="n">
        <x:v>81</x:v>
      </x:c>
      <x:c r="G26" s="188" t="n">
        <x:v>82</x:v>
      </x:c>
      <x:c r="H26" s="46" t="str">
        <x:v>register</x:v>
      </x:c>
      <x:c r="I26" s="3"/>
      <x:c r="J26" s="3"/>
      <x:c r="K26" s="3"/>
      <x:c r="L26" s="3"/>
      <x:c r="M26" s="3"/>
      <x:c r="N26" s="3"/>
      <x:c r="O26" s="3"/>
      <x:c r="P26" s="3"/>
      <x:c r="Q26" s="3"/>
      <x:c r="R26" s="3"/>
    </x:row>
    <x:row r="27" ht="38" customHeight="1">
      <x:c r="A27" s="46" t="str">
        <x:v>D04</x:v>
      </x:c>
      <x:c r="B27" s="46" t="str">
        <x:v>1 / Do</x:v>
      </x:c>
      <x:c r="C27" s="46" t="str">
        <x:v>Operational data-capture log</x:v>
      </x:c>
      <x:c r="D27" s="46" t="str">
        <x:f>IFERROR(HYPERLINK("#'D04 Case Data'!A1","D04 Case Data"),"D04 Case Data")</x:f>
        <x:v>D04 Case Data</x:v>
      </x:c>
      <x:c r="E27" s="188" t="n">
        <x:v>83</x:v>
      </x:c>
      <x:c r="F27" s="188" t="n">
        <x:v>84</x:v>
      </x:c>
      <x:c r="G27" s="188" t="n">
        <x:v>85</x:v>
      </x:c>
      <x:c r="H27" s="46" t="str">
        <x:v>register</x:v>
      </x:c>
      <x:c r="I27" s="3"/>
      <x:c r="J27" s="3"/>
      <x:c r="K27" s="3"/>
      <x:c r="L27" s="3"/>
      <x:c r="M27" s="3"/>
      <x:c r="N27" s="3"/>
      <x:c r="O27" s="3"/>
      <x:c r="P27" s="3"/>
      <x:c r="Q27" s="3"/>
      <x:c r="R27" s="3"/>
    </x:row>
    <x:row r="28" ht="38" customHeight="1">
      <x:c r="A28" s="46" t="str">
        <x:v>D05</x:v>
      </x:c>
      <x:c r="B28" s="46" t="str">
        <x:v>1 / Do</x:v>
      </x:c>
      <x:c r="C28" s="46" t="str">
        <x:v>Deviation, issue and safety log</x:v>
      </x:c>
      <x:c r="D28" s="46" t="str">
        <x:f>IFERROR(HYPERLINK("#'D05 Deviations'!A1","D05 Deviations"),"D05 Deviations")</x:f>
        <x:v>D05 Deviations</x:v>
      </x:c>
      <x:c r="E28" s="188" t="n">
        <x:v>86</x:v>
      </x:c>
      <x:c r="F28" s="188" t="n">
        <x:v>87</x:v>
      </x:c>
      <x:c r="G28" s="188" t="n">
        <x:v>88</x:v>
      </x:c>
      <x:c r="H28" s="46" t="str">
        <x:v>register</x:v>
      </x:c>
      <x:c r="I28" s="3"/>
      <x:c r="J28" s="3"/>
      <x:c r="K28" s="3"/>
      <x:c r="L28" s="3"/>
      <x:c r="M28" s="3"/>
      <x:c r="N28" s="3"/>
      <x:c r="O28" s="3"/>
      <x:c r="P28" s="3"/>
      <x:c r="Q28" s="3"/>
      <x:c r="R28" s="3"/>
    </x:row>
    <x:row r="29" ht="38" customHeight="1">
      <x:c r="A29" s="46" t="str">
        <x:v>D06</x:v>
      </x:c>
      <x:c r="B29" s="46" t="str">
        <x:v>1 / Do</x:v>
      </x:c>
      <x:c r="C29" s="46" t="str">
        <x:v>Learning huddle and action log</x:v>
      </x:c>
      <x:c r="D29" s="46" t="str">
        <x:f>IFERROR(HYPERLINK("#'D06 Huddle'!A1","D06 Huddle"),"D06 Huddle")</x:f>
        <x:v>D06 Huddle</x:v>
      </x:c>
      <x:c r="E29" s="188" t="n">
        <x:v>89</x:v>
      </x:c>
      <x:c r="F29" s="188" t="n">
        <x:v>90</x:v>
      </x:c>
      <x:c r="G29" s="188" t="n">
        <x:v>91</x:v>
      </x:c>
      <x:c r="H29" s="46" t="str">
        <x:v>script</x:v>
      </x:c>
      <x:c r="I29" s="3"/>
      <x:c r="J29" s="3"/>
      <x:c r="K29" s="3"/>
      <x:c r="L29" s="3"/>
      <x:c r="M29" s="3"/>
      <x:c r="N29" s="3"/>
      <x:c r="O29" s="3"/>
      <x:c r="P29" s="3"/>
      <x:c r="Q29" s="3"/>
      <x:c r="R29" s="3"/>
    </x:row>
    <x:row r="30" ht="38" customHeight="1">
      <x:c r="A30" s="46" t="str">
        <x:v>D07</x:v>
      </x:c>
      <x:c r="B30" s="46" t="str">
        <x:v>1 / Do</x:v>
      </x:c>
      <x:c r="C30" s="46" t="str">
        <x:v>User and staff feedback instrument</x:v>
      </x:c>
      <x:c r="D30" s="46" t="str">
        <x:f>IFERROR(HYPERLINK("#'D07 Feedback'!A1","D07 Feedback"),"D07 Feedback")</x:f>
        <x:v>D07 Feedback</x:v>
      </x:c>
      <x:c r="E30" s="188" t="n">
        <x:v>93</x:v>
      </x:c>
      <x:c r="F30" s="188" t="n">
        <x:v>94</x:v>
      </x:c>
      <x:c r="G30" s="188" t="n">
        <x:v>95</x:v>
      </x:c>
      <x:c r="H30" s="46" t="str">
        <x:v>instrument</x:v>
      </x:c>
      <x:c r="I30" s="3"/>
      <x:c r="J30" s="3"/>
      <x:c r="K30" s="3"/>
      <x:c r="L30" s="3"/>
      <x:c r="M30" s="3"/>
      <x:c r="N30" s="3"/>
      <x:c r="O30" s="3"/>
      <x:c r="P30" s="3"/>
      <x:c r="Q30" s="3"/>
      <x:c r="R30" s="3"/>
    </x:row>
    <x:row r="31" ht="38" customHeight="1">
      <x:c r="A31" s="46" t="str">
        <x:v>D08</x:v>
      </x:c>
      <x:c r="B31" s="46" t="str">
        <x:v>1 / Do</x:v>
      </x:c>
      <x:c r="C31" s="46" t="str">
        <x:v>Test change-control record</x:v>
      </x:c>
      <x:c r="D31" s="46" t="str">
        <x:f>IFERROR(HYPERLINK("#'D08 Test Changes'!A1","D08 Test Changes"),"D08 Test Changes")</x:f>
        <x:v>D08 Test Changes</x:v>
      </x:c>
      <x:c r="E31" s="188" t="n">
        <x:v>101</x:v>
      </x:c>
      <x:c r="F31" s="188" t="n">
        <x:v>102</x:v>
      </x:c>
      <x:c r="G31" s="188" t="n">
        <x:v>103</x:v>
      </x:c>
      <x:c r="H31" s="46" t="str">
        <x:v>register</x:v>
      </x:c>
      <x:c r="I31" s="3"/>
      <x:c r="J31" s="3"/>
      <x:c r="K31" s="3"/>
      <x:c r="L31" s="3"/>
      <x:c r="M31" s="3"/>
      <x:c r="N31" s="3"/>
      <x:c r="O31" s="3"/>
      <x:c r="P31" s="3"/>
      <x:c r="Q31" s="3"/>
      <x:c r="R31" s="3"/>
    </x:row>
    <x:row r="32" ht="38" customHeight="1">
      <x:c r="A32" s="46" t="str">
        <x:v>S01</x:v>
      </x:c>
      <x:c r="B32" s="46" t="str">
        <x:v>1 / Study</x:v>
      </x:c>
      <x:c r="C32" s="46" t="str">
        <x:v>Prediction-to-results review</x:v>
      </x:c>
      <x:c r="D32" s="46" t="str">
        <x:f>IFERROR(HYPERLINK("#'S01 Prediction Review'!A1","S01 Prediction Review"),"S01 Prediction Review")</x:f>
        <x:v>S01 Prediction Review</x:v>
      </x:c>
      <x:c r="E32" s="188" t="n">
        <x:v>107</x:v>
      </x:c>
      <x:c r="F32" s="188" t="n">
        <x:v>108</x:v>
      </x:c>
      <x:c r="G32" s="188" t="n">
        <x:v>109</x:v>
      </x:c>
      <x:c r="H32" s="46" t="str">
        <x:v>canvas</x:v>
      </x:c>
      <x:c r="I32" s="3"/>
      <x:c r="J32" s="3"/>
      <x:c r="K32" s="3"/>
      <x:c r="L32" s="3"/>
      <x:c r="M32" s="3"/>
      <x:c r="N32" s="3"/>
      <x:c r="O32" s="3"/>
      <x:c r="P32" s="3"/>
      <x:c r="Q32" s="3"/>
      <x:c r="R32" s="3"/>
    </x:row>
    <x:row r="33" ht="38" customHeight="1">
      <x:c r="A33" s="46" t="str">
        <x:v>S02</x:v>
      </x:c>
      <x:c r="B33" s="46" t="str">
        <x:v>1 / Study</x:v>
      </x:c>
      <x:c r="C33" s="46" t="str">
        <x:v>Measure summary and percentage calculator</x:v>
      </x:c>
      <x:c r="D33" s="46" t="str">
        <x:f>IFERROR(HYPERLINK("#'S02 Measure Summary'!A1","S02 Measure Summary"),"S02 Measure Summary")</x:f>
        <x:v>S02 Measure Summary</x:v>
      </x:c>
      <x:c r="E33" s="188" t="n">
        <x:v>110</x:v>
      </x:c>
      <x:c r="F33" s="188" t="n">
        <x:v>111</x:v>
      </x:c>
      <x:c r="G33" s="188" t="n">
        <x:v>112</x:v>
      </x:c>
      <x:c r="H33" s="46" t="str">
        <x:v>calculator</x:v>
      </x:c>
      <x:c r="I33" s="3"/>
      <x:c r="J33" s="3"/>
      <x:c r="K33" s="3"/>
      <x:c r="L33" s="3"/>
      <x:c r="M33" s="3"/>
      <x:c r="N33" s="3"/>
      <x:c r="O33" s="3"/>
      <x:c r="P33" s="3"/>
      <x:c r="Q33" s="3"/>
      <x:c r="R33" s="3"/>
    </x:row>
    <x:row r="34" ht="38" customHeight="1">
      <x:c r="A34" s="46" t="str">
        <x:v>S03</x:v>
      </x:c>
      <x:c r="B34" s="46" t="str">
        <x:v>1 / Study</x:v>
      </x:c>
      <x:c r="C34" s="46" t="str">
        <x:v>Run chart and learning annotations</x:v>
      </x:c>
      <x:c r="D34" s="46" t="str">
        <x:f>IFERROR(HYPERLINK("#'S03 Run Chart'!A1","S03 Run Chart"),"S03 Run Chart")</x:f>
        <x:v>S03 Run Chart</x:v>
      </x:c>
      <x:c r="E34" s="188" t="n">
        <x:v>113</x:v>
      </x:c>
      <x:c r="F34" s="188" t="n">
        <x:v>114</x:v>
      </x:c>
      <x:c r="G34" s="188" t="n">
        <x:v>115</x:v>
      </x:c>
      <x:c r="H34" s="46" t="str">
        <x:v>calculator</x:v>
      </x:c>
      <x:c r="I34" s="3"/>
      <x:c r="J34" s="3"/>
      <x:c r="K34" s="3"/>
      <x:c r="L34" s="3"/>
      <x:c r="M34" s="3"/>
      <x:c r="N34" s="3"/>
      <x:c r="O34" s="3"/>
      <x:c r="P34" s="3"/>
      <x:c r="Q34" s="3"/>
      <x:c r="R34" s="3"/>
    </x:row>
    <x:row r="35" ht="38" customHeight="1">
      <x:c r="A35" s="46" t="str">
        <x:v>S04</x:v>
      </x:c>
      <x:c r="B35" s="46" t="str">
        <x:v>1 / Study</x:v>
      </x:c>
      <x:c r="C35" s="46" t="str">
        <x:v>Individuals and moving-range chart</x:v>
      </x:c>
      <x:c r="D35" s="46" t="str">
        <x:f>IFERROR(HYPERLINK("#'S04 I-MR'!A1","S04 I-MR"),"S04 I-MR")</x:f>
        <x:v>S04 I-MR</x:v>
      </x:c>
      <x:c r="E35" s="188" t="n">
        <x:v>116</x:v>
      </x:c>
      <x:c r="F35" s="188" t="n">
        <x:v>117</x:v>
      </x:c>
      <x:c r="G35" s="188" t="n">
        <x:v>118</x:v>
      </x:c>
      <x:c r="H35" s="46" t="str">
        <x:v>calculator</x:v>
      </x:c>
      <x:c r="I35" s="3"/>
      <x:c r="J35" s="3"/>
      <x:c r="K35" s="3"/>
      <x:c r="L35" s="3"/>
      <x:c r="M35" s="3"/>
      <x:c r="N35" s="3"/>
      <x:c r="O35" s="3"/>
      <x:c r="P35" s="3"/>
      <x:c r="Q35" s="3"/>
      <x:c r="R35" s="3"/>
    </x:row>
    <x:row r="36" ht="38" customHeight="1">
      <x:c r="A36" s="46" t="str">
        <x:v>S05</x:v>
      </x:c>
      <x:c r="B36" s="46" t="str">
        <x:v>1 / Study</x:v>
      </x:c>
      <x:c r="C36" s="46" t="str">
        <x:v>p-chart for proportion nonconforming</x:v>
      </x:c>
      <x:c r="D36" s="46" t="str">
        <x:f>IFERROR(HYPERLINK("#'S05 p Chart'!A1","S05 p Chart"),"S05 p Chart")</x:f>
        <x:v>S05 p Chart</x:v>
      </x:c>
      <x:c r="E36" s="188" t="n">
        <x:v>119</x:v>
      </x:c>
      <x:c r="F36" s="188" t="n">
        <x:v>120</x:v>
      </x:c>
      <x:c r="G36" s="188" t="n">
        <x:v>121</x:v>
      </x:c>
      <x:c r="H36" s="46" t="str">
        <x:v>calculator</x:v>
      </x:c>
      <x:c r="I36" s="3"/>
      <x:c r="J36" s="3"/>
      <x:c r="K36" s="3"/>
      <x:c r="L36" s="3"/>
      <x:c r="M36" s="3"/>
      <x:c r="N36" s="3"/>
      <x:c r="O36" s="3"/>
      <x:c r="P36" s="3"/>
      <x:c r="Q36" s="3"/>
      <x:c r="R36" s="3"/>
    </x:row>
    <x:row r="37" ht="38" customHeight="1">
      <x:c r="A37" s="46" t="str">
        <x:v>S06</x:v>
      </x:c>
      <x:c r="B37" s="46" t="str">
        <x:v>1 / Study</x:v>
      </x:c>
      <x:c r="C37" s="46" t="str">
        <x:v>Pareto analysis and priority review</x:v>
      </x:c>
      <x:c r="D37" s="46" t="str">
        <x:f>IFERROR(HYPERLINK("#'S06 Pareto'!A1","S06 Pareto"),"S06 Pareto")</x:f>
        <x:v>S06 Pareto</x:v>
      </x:c>
      <x:c r="E37" s="188" t="n">
        <x:v>122</x:v>
      </x:c>
      <x:c r="F37" s="188" t="n">
        <x:v>123</x:v>
      </x:c>
      <x:c r="G37" s="188" t="n">
        <x:v>124</x:v>
      </x:c>
      <x:c r="H37" s="46" t="str">
        <x:v>calculator</x:v>
      </x:c>
      <x:c r="I37" s="3"/>
      <x:c r="J37" s="3"/>
      <x:c r="K37" s="3"/>
      <x:c r="L37" s="3"/>
      <x:c r="M37" s="3"/>
      <x:c r="N37" s="3"/>
      <x:c r="O37" s="3"/>
      <x:c r="P37" s="3"/>
      <x:c r="Q37" s="3"/>
      <x:c r="R37" s="3"/>
    </x:row>
    <x:row r="38" ht="38" customHeight="1">
      <x:c r="A38" s="46" t="str">
        <x:v>S07</x:v>
      </x:c>
      <x:c r="B38" s="46" t="str">
        <x:v>1 / Study</x:v>
      </x:c>
      <x:c r="C38" s="46" t="str">
        <x:v>Histogram and distribution review</x:v>
      </x:c>
      <x:c r="D38" s="46" t="str">
        <x:f>IFERROR(HYPERLINK("#'S07 Histogram'!A1","S07 Histogram"),"S07 Histogram")</x:f>
        <x:v>S07 Histogram</x:v>
      </x:c>
      <x:c r="E38" s="188" t="n">
        <x:v>125</x:v>
      </x:c>
      <x:c r="F38" s="188" t="n">
        <x:v>126</x:v>
      </x:c>
      <x:c r="G38" s="188" t="n">
        <x:v>127</x:v>
      </x:c>
      <x:c r="H38" s="46" t="str">
        <x:v>calculator</x:v>
      </x:c>
      <x:c r="I38" s="3"/>
      <x:c r="J38" s="3"/>
      <x:c r="K38" s="3"/>
      <x:c r="L38" s="3"/>
      <x:c r="M38" s="3"/>
      <x:c r="N38" s="3"/>
      <x:c r="O38" s="3"/>
      <x:c r="P38" s="3"/>
      <x:c r="Q38" s="3"/>
      <x:c r="R38" s="3"/>
    </x:row>
    <x:row r="39" ht="38" customHeight="1">
      <x:c r="A39" s="46" t="str">
        <x:v>S08</x:v>
      </x:c>
      <x:c r="B39" s="46" t="str">
        <x:v>1 / Study</x:v>
      </x:c>
      <x:c r="C39" s="46" t="str">
        <x:v>Scatter plot and relationship check</x:v>
      </x:c>
      <x:c r="D39" s="46" t="str">
        <x:f>IFERROR(HYPERLINK("#'S08 Scatter'!A1","S08 Scatter"),"S08 Scatter")</x:f>
        <x:v>S08 Scatter</x:v>
      </x:c>
      <x:c r="E39" s="188" t="n">
        <x:v>128</x:v>
      </x:c>
      <x:c r="F39" s="188" t="n">
        <x:v>129</x:v>
      </x:c>
      <x:c r="G39" s="188" t="n">
        <x:v>130</x:v>
      </x:c>
      <x:c r="H39" s="46" t="str">
        <x:v>calculator</x:v>
      </x:c>
      <x:c r="I39" s="3"/>
      <x:c r="J39" s="3"/>
      <x:c r="K39" s="3"/>
      <x:c r="L39" s="3"/>
      <x:c r="M39" s="3"/>
      <x:c r="N39" s="3"/>
      <x:c r="O39" s="3"/>
      <x:c r="P39" s="3"/>
      <x:c r="Q39" s="3"/>
      <x:c r="R39" s="3"/>
    </x:row>
    <x:row r="40" ht="38" customHeight="1">
      <x:c r="A40" s="46" t="str">
        <x:v>S09</x:v>
      </x:c>
      <x:c r="B40" s="46" t="str">
        <x:v>1 / Study</x:v>
      </x:c>
      <x:c r="C40" s="46" t="str">
        <x:v>Stratification and equitable-access review</x:v>
      </x:c>
      <x:c r="D40" s="46" t="str">
        <x:f>IFERROR(HYPERLINK("#'S09 Equity Review'!A1","S09 Equity Review"),"S09 Equity Review")</x:f>
        <x:v>S09 Equity Review</x:v>
      </x:c>
      <x:c r="E40" s="188" t="n">
        <x:v>131</x:v>
      </x:c>
      <x:c r="F40" s="188" t="n">
        <x:v>132</x:v>
      </x:c>
      <x:c r="G40" s="188" t="n">
        <x:v>133</x:v>
      </x:c>
      <x:c r="H40" s="46" t="str">
        <x:v>calculator</x:v>
      </x:c>
      <x:c r="I40" s="3"/>
      <x:c r="J40" s="3"/>
      <x:c r="K40" s="3"/>
      <x:c r="L40" s="3"/>
      <x:c r="M40" s="3"/>
      <x:c r="N40" s="3"/>
      <x:c r="O40" s="3"/>
      <x:c r="P40" s="3"/>
      <x:c r="Q40" s="3"/>
      <x:c r="R40" s="3"/>
    </x:row>
    <x:row r="41" ht="38" customHeight="1">
      <x:c r="A41" s="46" t="str">
        <x:v>S10</x:v>
      </x:c>
      <x:c r="B41" s="46" t="str">
        <x:v>1 / Study</x:v>
      </x:c>
      <x:c r="C41" s="46" t="str">
        <x:v>Qualitative coding and evidence triangulation</x:v>
      </x:c>
      <x:c r="D41" s="46" t="str">
        <x:f>IFERROR(HYPERLINK("#'S10 Triangulation'!A1","S10 Triangulation"),"S10 Triangulation")</x:f>
        <x:v>S10 Triangulation</x:v>
      </x:c>
      <x:c r="E41" s="188" t="n">
        <x:v>134</x:v>
      </x:c>
      <x:c r="F41" s="188" t="n">
        <x:v>135</x:v>
      </x:c>
      <x:c r="G41" s="188" t="n">
        <x:v>136</x:v>
      </x:c>
      <x:c r="H41" s="46" t="str">
        <x:v>register</x:v>
      </x:c>
      <x:c r="I41" s="3"/>
      <x:c r="J41" s="3"/>
      <x:c r="K41" s="3"/>
      <x:c r="L41" s="3"/>
      <x:c r="M41" s="3"/>
      <x:c r="N41" s="3"/>
      <x:c r="O41" s="3"/>
      <x:c r="P41" s="3"/>
      <x:c r="Q41" s="3"/>
      <x:c r="R41" s="3"/>
    </x:row>
    <x:row r="42" ht="38" customHeight="1">
      <x:c r="A42" s="46" t="str">
        <x:v>S11</x:v>
      </x:c>
      <x:c r="B42" s="46" t="str">
        <x:v>1 / Study</x:v>
      </x:c>
      <x:c r="C42" s="46" t="str">
        <x:v>Time, capacity and cost-of-change analysis</x:v>
      </x:c>
      <x:c r="D42" s="46" t="str">
        <x:f>IFERROR(HYPERLINK("#'S11 Capacity Value'!A1","S11 Capacity Value"),"S11 Capacity Value")</x:f>
        <x:v>S11 Capacity Value</x:v>
      </x:c>
      <x:c r="E42" s="188" t="n">
        <x:v>137</x:v>
      </x:c>
      <x:c r="F42" s="188" t="n">
        <x:v>138</x:v>
      </x:c>
      <x:c r="G42" s="188" t="n">
        <x:v>139</x:v>
      </x:c>
      <x:c r="H42" s="46" t="str">
        <x:v>calculator</x:v>
      </x:c>
      <x:c r="I42" s="3"/>
      <x:c r="J42" s="3"/>
      <x:c r="K42" s="3"/>
      <x:c r="L42" s="3"/>
      <x:c r="M42" s="3"/>
      <x:c r="N42" s="3"/>
      <x:c r="O42" s="3"/>
      <x:c r="P42" s="3"/>
      <x:c r="Q42" s="3"/>
      <x:c r="R42" s="3"/>
    </x:row>
    <x:row r="43" ht="38" customHeight="1">
      <x:c r="A43" s="46" t="str">
        <x:v>S12</x:v>
      </x:c>
      <x:c r="B43" s="46" t="str">
        <x:v>1 / Study</x:v>
      </x:c>
      <x:c r="C43" s="46" t="str">
        <x:v>Study workshop and learning decision</x:v>
      </x:c>
      <x:c r="D43" s="46" t="str">
        <x:f>IFERROR(HYPERLINK("#'S12 Study Workshop'!A1","S12 Study Workshop"),"S12 Study Workshop")</x:f>
        <x:v>S12 Study Workshop</x:v>
      </x:c>
      <x:c r="E43" s="188" t="n">
        <x:v>140</x:v>
      </x:c>
      <x:c r="F43" s="188" t="n">
        <x:v>141</x:v>
      </x:c>
      <x:c r="G43" s="188" t="n">
        <x:v>142</x:v>
      </x:c>
      <x:c r="H43" s="46" t="str">
        <x:v>script</x:v>
      </x:c>
      <x:c r="I43" s="3"/>
      <x:c r="J43" s="3"/>
      <x:c r="K43" s="3"/>
      <x:c r="L43" s="3"/>
      <x:c r="M43" s="3"/>
      <x:c r="N43" s="3"/>
      <x:c r="O43" s="3"/>
      <x:c r="P43" s="3"/>
      <x:c r="Q43" s="3"/>
      <x:c r="R43" s="3"/>
    </x:row>
    <x:row r="44" ht="38" customHeight="1">
      <x:c r="A44" s="46" t="str">
        <x:v>A01</x:v>
      </x:c>
      <x:c r="B44" s="46" t="str">
        <x:v>1 / Act</x:v>
      </x:c>
      <x:c r="C44" s="46" t="str">
        <x:v>Adopt, adapt or abandon decision</x:v>
      </x:c>
      <x:c r="D44" s="46" t="str">
        <x:f>IFERROR(HYPERLINK("#'A01 Act Decision'!A1","A01 Act Decision"),"A01 Act Decision")</x:f>
        <x:v>A01 Act Decision</x:v>
      </x:c>
      <x:c r="E44" s="188" t="n">
        <x:v>147</x:v>
      </x:c>
      <x:c r="F44" s="188" t="n">
        <x:v>148</x:v>
      </x:c>
      <x:c r="G44" s="188" t="n">
        <x:v>149</x:v>
      </x:c>
      <x:c r="H44" s="46" t="str">
        <x:v>canvas</x:v>
      </x:c>
      <x:c r="I44" s="3"/>
      <x:c r="J44" s="3"/>
      <x:c r="K44" s="3"/>
      <x:c r="L44" s="3"/>
      <x:c r="M44" s="3"/>
      <x:c r="N44" s="3"/>
      <x:c r="O44" s="3"/>
      <x:c r="P44" s="3"/>
      <x:c r="Q44" s="3"/>
      <x:c r="R44" s="3"/>
    </x:row>
    <x:row r="45" ht="38" customHeight="1">
      <x:c r="A45" s="46" t="str">
        <x:v>A02</x:v>
      </x:c>
      <x:c r="B45" s="46" t="str">
        <x:v>1 / Act</x:v>
      </x:c>
      <x:c r="C45" s="46" t="str">
        <x:v>Next-cycle design and learning ladder</x:v>
      </x:c>
      <x:c r="D45" s="46" t="str">
        <x:f>IFERROR(HYPERLINK("#'A02 Next Cycle'!A1","A02 Next Cycle"),"A02 Next Cycle")</x:f>
        <x:v>A02 Next Cycle</x:v>
      </x:c>
      <x:c r="E45" s="188" t="n">
        <x:v>150</x:v>
      </x:c>
      <x:c r="F45" s="188" t="n">
        <x:v>151</x:v>
      </x:c>
      <x:c r="G45" s="188" t="n">
        <x:v>152</x:v>
      </x:c>
      <x:c r="H45" s="46" t="str">
        <x:v>canvas</x:v>
      </x:c>
      <x:c r="I45" s="3"/>
      <x:c r="J45" s="3"/>
      <x:c r="K45" s="3"/>
      <x:c r="L45" s="3"/>
      <x:c r="M45" s="3"/>
      <x:c r="N45" s="3"/>
      <x:c r="O45" s="3"/>
      <x:c r="P45" s="3"/>
      <x:c r="Q45" s="3"/>
      <x:c r="R45" s="3"/>
    </x:row>
    <x:row r="46" ht="38" customHeight="1">
      <x:c r="A46" s="46" t="str">
        <x:v>A03</x:v>
      </x:c>
      <x:c r="B46" s="46" t="str">
        <x:v>1 / Act</x:v>
      </x:c>
      <x:c r="C46" s="46" t="str">
        <x:v>Implementation-readiness review</x:v>
      </x:c>
      <x:c r="D46" s="46" t="str">
        <x:f>IFERROR(HYPERLINK("#'A03 Implementation Ready'!A1","A03 Implementation Ready"),"A03 Implementation Ready")</x:f>
        <x:v>A03 Implementation Ready</x:v>
      </x:c>
      <x:c r="E46" s="188" t="n">
        <x:v>153</x:v>
      </x:c>
      <x:c r="F46" s="188" t="n">
        <x:v>154</x:v>
      </x:c>
      <x:c r="G46" s="188" t="n">
        <x:v>155</x:v>
      </x:c>
      <x:c r="H46" s="46" t="str">
        <x:v>checklist</x:v>
      </x:c>
      <x:c r="I46" s="3"/>
      <x:c r="J46" s="3"/>
      <x:c r="K46" s="3"/>
      <x:c r="L46" s="3"/>
      <x:c r="M46" s="3"/>
      <x:c r="N46" s="3"/>
      <x:c r="O46" s="3"/>
      <x:c r="P46" s="3"/>
      <x:c r="Q46" s="3"/>
      <x:c r="R46" s="3"/>
    </x:row>
    <x:row r="47" ht="38" customHeight="1">
      <x:c r="A47" s="46" t="str">
        <x:v>A04</x:v>
      </x:c>
      <x:c r="B47" s="46" t="str">
        <x:v>1 / Act</x:v>
      </x:c>
      <x:c r="C47" s="46" t="str">
        <x:v>Spread and local-adaptation plan</x:v>
      </x:c>
      <x:c r="D47" s="46" t="str">
        <x:f>IFERROR(HYPERLINK("#'A04 Spread'!A1","A04 Spread"),"A04 Spread")</x:f>
        <x:v>A04 Spread</x:v>
      </x:c>
      <x:c r="E47" s="188" t="n">
        <x:v>156</x:v>
      </x:c>
      <x:c r="F47" s="188" t="n">
        <x:v>157</x:v>
      </x:c>
      <x:c r="G47" s="188" t="n">
        <x:v>158</x:v>
      </x:c>
      <x:c r="H47" s="46" t="str">
        <x:v>register</x:v>
      </x:c>
      <x:c r="I47" s="3"/>
      <x:c r="J47" s="3"/>
      <x:c r="K47" s="3"/>
      <x:c r="L47" s="3"/>
      <x:c r="M47" s="3"/>
      <x:c r="N47" s="3"/>
      <x:c r="O47" s="3"/>
      <x:c r="P47" s="3"/>
      <x:c r="Q47" s="3"/>
      <x:c r="R47" s="3"/>
    </x:row>
    <x:row r="48" ht="38" customHeight="1">
      <x:c r="A48" s="46" t="str">
        <x:v>A05</x:v>
      </x:c>
      <x:c r="B48" s="46" t="str">
        <x:v>1 / Act</x:v>
      </x:c>
      <x:c r="C48" s="46" t="str">
        <x:v>Control plan and response rules</x:v>
      </x:c>
      <x:c r="D48" s="46" t="str">
        <x:f>IFERROR(HYPERLINK("#'A05 Control Plan'!A1","A05 Control Plan"),"A05 Control Plan")</x:f>
        <x:v>A05 Control Plan</x:v>
      </x:c>
      <x:c r="E48" s="188" t="n">
        <x:v>159</x:v>
      </x:c>
      <x:c r="F48" s="188" t="n">
        <x:v>160</x:v>
      </x:c>
      <x:c r="G48" s="188" t="n">
        <x:v>161</x:v>
      </x:c>
      <x:c r="H48" s="46" t="str">
        <x:v>register</x:v>
      </x:c>
      <x:c r="I48" s="3"/>
      <x:c r="J48" s="3"/>
      <x:c r="K48" s="3"/>
      <x:c r="L48" s="3"/>
      <x:c r="M48" s="3"/>
      <x:c r="N48" s="3"/>
      <x:c r="O48" s="3"/>
      <x:c r="P48" s="3"/>
      <x:c r="Q48" s="3"/>
      <x:c r="R48" s="3"/>
    </x:row>
    <x:row r="49" ht="38" customHeight="1">
      <x:c r="A49" s="46" t="str">
        <x:v>A06</x:v>
      </x:c>
      <x:c r="B49" s="46" t="str">
        <x:v>1 / Act</x:v>
      </x:c>
      <x:c r="C49" s="46" t="str">
        <x:v>Benefits, capacity and cost register</x:v>
      </x:c>
      <x:c r="D49" s="46" t="str">
        <x:f>IFERROR(HYPERLINK("#'A06 Benefits'!A1","A06 Benefits"),"A06 Benefits")</x:f>
        <x:v>A06 Benefits</x:v>
      </x:c>
      <x:c r="E49" s="188" t="n">
        <x:v>162</x:v>
      </x:c>
      <x:c r="F49" s="188" t="n">
        <x:v>163</x:v>
      </x:c>
      <x:c r="G49" s="188" t="n">
        <x:v>164</x:v>
      </x:c>
      <x:c r="H49" s="46" t="str">
        <x:v>calculator</x:v>
      </x:c>
      <x:c r="I49" s="3"/>
      <x:c r="J49" s="3"/>
      <x:c r="K49" s="3"/>
      <x:c r="L49" s="3"/>
      <x:c r="M49" s="3"/>
      <x:c r="N49" s="3"/>
      <x:c r="O49" s="3"/>
      <x:c r="P49" s="3"/>
      <x:c r="Q49" s="3"/>
      <x:c r="R49" s="3"/>
    </x:row>
    <x:row r="50" ht="38" customHeight="1">
      <x:c r="A50" s="46" t="str">
        <x:v>A07</x:v>
      </x:c>
      <x:c r="B50" s="46" t="str">
        <x:v>1 / Act</x:v>
      </x:c>
      <x:c r="C50" s="46" t="str">
        <x:v>Operating handover and sustainment agreement</x:v>
      </x:c>
      <x:c r="D50" s="46" t="str">
        <x:f>IFERROR(HYPERLINK("#'A07 Handover'!A1","A07 Handover"),"A07 Handover")</x:f>
        <x:v>A07 Handover</x:v>
      </x:c>
      <x:c r="E50" s="188" t="n">
        <x:v>165</x:v>
      </x:c>
      <x:c r="F50" s="188" t="n">
        <x:v>166</x:v>
      </x:c>
      <x:c r="G50" s="188" t="n">
        <x:v>167</x:v>
      </x:c>
      <x:c r="H50" s="46" t="str">
        <x:v>checklist</x:v>
      </x:c>
      <x:c r="I50" s="3"/>
      <x:c r="J50" s="3"/>
      <x:c r="K50" s="3"/>
      <x:c r="L50" s="3"/>
      <x:c r="M50" s="3"/>
      <x:c r="N50" s="3"/>
      <x:c r="O50" s="3"/>
      <x:c r="P50" s="3"/>
      <x:c r="Q50" s="3"/>
      <x:c r="R50" s="3"/>
    </x:row>
    <x:row r="51" ht="38" customHeight="1">
      <x:c r="A51" s="46" t="str">
        <x:v>A08</x:v>
      </x:c>
      <x:c r="B51" s="46" t="str">
        <x:v>1 / Act</x:v>
      </x:c>
      <x:c r="C51" s="46" t="str">
        <x:v>Improvement learning report and closure</x:v>
      </x:c>
      <x:c r="D51" s="46" t="str">
        <x:f>IFERROR(HYPERLINK("#'A08 Learning Report'!A1","A08 Learning Report"),"A08 Learning Report")</x:f>
        <x:v>A08 Learning Report</x:v>
      </x:c>
      <x:c r="E51" s="188" t="n">
        <x:v>168</x:v>
      </x:c>
      <x:c r="F51" s="188" t="n">
        <x:v>169</x:v>
      </x:c>
      <x:c r="G51" s="188" t="n">
        <x:v>170</x:v>
      </x:c>
      <x:c r="H51" s="46" t="str">
        <x:v>canvas</x:v>
      </x:c>
      <x:c r="I51" s="3"/>
      <x:c r="J51" s="3"/>
      <x:c r="K51" s="3"/>
      <x:c r="L51" s="3"/>
      <x:c r="M51" s="3"/>
      <x:c r="N51" s="3"/>
      <x:c r="O51" s="3"/>
      <x:c r="P51" s="3"/>
      <x:c r="Q51" s="3"/>
      <x:c r="R51" s="3"/>
    </x:row>
    <x:row r="52" ht="38" customHeight="1">
      <x:c r="A52" s="46" t="str">
        <x:v>V01</x:v>
      </x:c>
      <x:c r="B52" s="46" t="str">
        <x:v>2 / Specify value</x:v>
      </x:c>
      <x:c r="C52" s="46" t="str">
        <x:v>Lean improvement charter and True North</x:v>
      </x:c>
      <x:c r="D52" s="46" t="str">
        <x:f>IFERROR(HYPERLINK("#'V01 Lean Charter'!A1","V01 Lean Charter"),"V01 Lean Charter")</x:f>
        <x:v>V01 Lean Charter</x:v>
      </x:c>
      <x:c r="E52" s="188" t="n">
        <x:v>176</x:v>
      </x:c>
      <x:c r="F52" s="188" t="n">
        <x:v>177</x:v>
      </x:c>
      <x:c r="G52" s="188" t="n">
        <x:v>178</x:v>
      </x:c>
      <x:c r="H52" s="46" t="str">
        <x:v>canvas</x:v>
      </x:c>
      <x:c r="I52" s="3"/>
      <x:c r="J52" s="3"/>
      <x:c r="K52" s="3"/>
      <x:c r="L52" s="3"/>
      <x:c r="M52" s="3"/>
      <x:c r="N52" s="3"/>
      <x:c r="O52" s="3"/>
      <x:c r="P52" s="3"/>
      <x:c r="Q52" s="3"/>
      <x:c r="R52" s="3"/>
    </x:row>
    <x:row r="53" ht="38" customHeight="1">
      <x:c r="A53" s="46" t="str">
        <x:v>V02</x:v>
      </x:c>
      <x:c r="B53" s="46" t="str">
        <x:v>2 / Specify value</x:v>
      </x:c>
      <x:c r="C53" s="46" t="str">
        <x:v>Voice of the customer and CTQ translation</x:v>
      </x:c>
      <x:c r="D53" s="46" t="str">
        <x:f>IFERROR(HYPERLINK("#'V02 Voice to CTQ'!A1","V02 Voice to CTQ"),"V02 Voice to CTQ")</x:f>
        <x:v>V02 Voice to CTQ</x:v>
      </x:c>
      <x:c r="E53" s="188" t="n">
        <x:v>179</x:v>
      </x:c>
      <x:c r="F53" s="188" t="n">
        <x:v>180</x:v>
      </x:c>
      <x:c r="G53" s="188" t="n">
        <x:v>181</x:v>
      </x:c>
      <x:c r="H53" s="46" t="str">
        <x:v>register</x:v>
      </x:c>
      <x:c r="I53" s="3"/>
      <x:c r="J53" s="3"/>
      <x:c r="K53" s="3"/>
      <x:c r="L53" s="3"/>
      <x:c r="M53" s="3"/>
      <x:c r="N53" s="3"/>
      <x:c r="O53" s="3"/>
      <x:c r="P53" s="3"/>
      <x:c r="Q53" s="3"/>
      <x:c r="R53" s="3"/>
    </x:row>
    <x:row r="54" ht="38" customHeight="1">
      <x:c r="A54" s="46" t="str">
        <x:v>V03</x:v>
      </x:c>
      <x:c r="B54" s="46" t="str">
        <x:v>2 / Specify value</x:v>
      </x:c>
      <x:c r="C54" s="46" t="str">
        <x:v>A3 problem-solving and coaching record</x:v>
      </x:c>
      <x:c r="D54" s="46" t="str">
        <x:f>IFERROR(HYPERLINK("#'V03 A3'!A1","V03 A3"),"V03 A3")</x:f>
        <x:v>V03 A3</x:v>
      </x:c>
      <x:c r="E54" s="188" t="n">
        <x:v>182</x:v>
      </x:c>
      <x:c r="F54" s="188" t="n">
        <x:v>183</x:v>
      </x:c>
      <x:c r="G54" s="188" t="n">
        <x:v>184</x:v>
      </x:c>
      <x:c r="H54" s="46" t="str">
        <x:v>a3</x:v>
      </x:c>
      <x:c r="I54" s="3"/>
      <x:c r="J54" s="3"/>
      <x:c r="K54" s="3"/>
      <x:c r="L54" s="3"/>
      <x:c r="M54" s="3"/>
      <x:c r="N54" s="3"/>
      <x:c r="O54" s="3"/>
      <x:c r="P54" s="3"/>
      <x:c r="Q54" s="3"/>
      <x:c r="R54" s="3"/>
    </x:row>
    <x:row r="55" ht="38" customHeight="1">
      <x:c r="A55" s="46" t="str">
        <x:v>V04</x:v>
      </x:c>
      <x:c r="B55" s="46" t="str">
        <x:v>2 / Specify value</x:v>
      </x:c>
      <x:c r="C55" s="46" t="str">
        <x:v>Gemba observation and respectful enquiry</x:v>
      </x:c>
      <x:c r="D55" s="46" t="str">
        <x:f>IFERROR(HYPERLINK("#'V04 Gemba'!A1","V04 Gemba"),"V04 Gemba")</x:f>
        <x:v>V04 Gemba</x:v>
      </x:c>
      <x:c r="E55" s="188" t="n">
        <x:v>185</x:v>
      </x:c>
      <x:c r="F55" s="188" t="n">
        <x:v>186</x:v>
      </x:c>
      <x:c r="G55" s="188" t="n">
        <x:v>187</x:v>
      </x:c>
      <x:c r="H55" s="46" t="str">
        <x:v>script</x:v>
      </x:c>
      <x:c r="I55" s="3"/>
      <x:c r="J55" s="3"/>
      <x:c r="K55" s="3"/>
      <x:c r="L55" s="3"/>
      <x:c r="M55" s="3"/>
      <x:c r="N55" s="3"/>
      <x:c r="O55" s="3"/>
      <x:c r="P55" s="3"/>
      <x:c r="Q55" s="3"/>
      <x:c r="R55" s="3"/>
    </x:row>
    <x:row r="56" ht="38" customHeight="1">
      <x:c r="A56" s="46" t="str">
        <x:v>V05</x:v>
      </x:c>
      <x:c r="B56" s="46" t="str">
        <x:v>2 / Specify value</x:v>
      </x:c>
      <x:c r="C56" s="46" t="str">
        <x:v>Improvement selection and readiness portfolio</x:v>
      </x:c>
      <x:c r="D56" s="46" t="str">
        <x:f>IFERROR(HYPERLINK("#'V05 Selection'!A1","V05 Selection"),"V05 Selection")</x:f>
        <x:v>V05 Selection</x:v>
      </x:c>
      <x:c r="E56" s="188" t="n">
        <x:v>189</x:v>
      </x:c>
      <x:c r="F56" s="188" t="n">
        <x:v>190</x:v>
      </x:c>
      <x:c r="G56" s="188" t="n">
        <x:v>191</x:v>
      </x:c>
      <x:c r="H56" s="46" t="str">
        <x:v>register</x:v>
      </x:c>
      <x:c r="I56" s="3"/>
      <x:c r="J56" s="3"/>
      <x:c r="K56" s="3"/>
      <x:c r="L56" s="3"/>
      <x:c r="M56" s="3"/>
      <x:c r="N56" s="3"/>
      <x:c r="O56" s="3"/>
      <x:c r="P56" s="3"/>
      <x:c r="Q56" s="3"/>
      <x:c r="R56" s="3"/>
    </x:row>
    <x:row r="57" ht="38" customHeight="1">
      <x:c r="A57" s="46" t="str">
        <x:v>V06</x:v>
      </x:c>
      <x:c r="B57" s="46" t="str">
        <x:v>2 / Specify value</x:v>
      </x:c>
      <x:c r="C57" s="46" t="str">
        <x:v>Strategy alignment and X-matrix conversation</x:v>
      </x:c>
      <x:c r="D57" s="46" t="str">
        <x:f>IFERROR(HYPERLINK("#'V06 X Matrix'!A1","V06 X Matrix"),"V06 X Matrix")</x:f>
        <x:v>V06 X Matrix</x:v>
      </x:c>
      <x:c r="E57" s="188" t="n">
        <x:v>192</x:v>
      </x:c>
      <x:c r="F57" s="188" t="n">
        <x:v>193</x:v>
      </x:c>
      <x:c r="G57" s="188" t="n">
        <x:v>194</x:v>
      </x:c>
      <x:c r="H57" s="46" t="str">
        <x:v>matrix</x:v>
      </x:c>
      <x:c r="I57" s="3"/>
      <x:c r="J57" s="3"/>
      <x:c r="K57" s="3"/>
      <x:c r="L57" s="3"/>
      <x:c r="M57" s="3"/>
      <x:c r="N57" s="3"/>
      <x:c r="O57" s="3"/>
      <x:c r="P57" s="3"/>
      <x:c r="Q57" s="3"/>
      <x:c r="R57" s="3"/>
    </x:row>
    <x:row r="58" ht="38" customHeight="1">
      <x:c r="A58" s="46" t="str">
        <x:v>M01</x:v>
      </x:c>
      <x:c r="B58" s="46" t="str">
        <x:v>2 / Understand the value stream</x:v>
      </x:c>
      <x:c r="C58" s="46" t="str">
        <x:v>Process-family selection matrix</x:v>
      </x:c>
      <x:c r="D58" s="46" t="str">
        <x:f>IFERROR(HYPERLINK("#'M01 Family Matrix'!A1","M01 Family Matrix"),"M01 Family Matrix")</x:f>
        <x:v>M01 Family Matrix</x:v>
      </x:c>
      <x:c r="E58" s="188" t="n">
        <x:v>198</x:v>
      </x:c>
      <x:c r="F58" s="188" t="n">
        <x:v>199</x:v>
      </x:c>
      <x:c r="G58" s="188" t="n">
        <x:v>200</x:v>
      </x:c>
      <x:c r="H58" s="46" t="str">
        <x:v>matrix</x:v>
      </x:c>
      <x:c r="I58" s="3"/>
      <x:c r="J58" s="3"/>
      <x:c r="K58" s="3"/>
      <x:c r="L58" s="3"/>
      <x:c r="M58" s="3"/>
      <x:c r="N58" s="3"/>
      <x:c r="O58" s="3"/>
      <x:c r="P58" s="3"/>
      <x:c r="Q58" s="3"/>
      <x:c r="R58" s="3"/>
    </x:row>
    <x:row r="59" ht="38" customHeight="1">
      <x:c r="A59" s="46" t="str">
        <x:v>M02</x:v>
      </x:c>
      <x:c r="B59" s="46" t="str">
        <x:v>2 / Understand the value stream</x:v>
      </x:c>
      <x:c r="C59" s="46" t="str">
        <x:v>Current-state value stream map</x:v>
      </x:c>
      <x:c r="D59" s="46" t="str">
        <x:f>IFERROR(HYPERLINK("#'M02 Current VSM'!A1","M02 Current VSM"),"M02 Current VSM")</x:f>
        <x:v>M02 Current VSM</x:v>
      </x:c>
      <x:c r="E59" s="188" t="n">
        <x:v>201</x:v>
      </x:c>
      <x:c r="F59" s="188" t="n">
        <x:v>202</x:v>
      </x:c>
      <x:c r="G59" s="188" t="n">
        <x:v>203</x:v>
      </x:c>
      <x:c r="H59" s="46" t="str">
        <x:v>vsm</x:v>
      </x:c>
      <x:c r="I59" s="3"/>
      <x:c r="J59" s="3"/>
      <x:c r="K59" s="3"/>
      <x:c r="L59" s="3"/>
      <x:c r="M59" s="3"/>
      <x:c r="N59" s="3"/>
      <x:c r="O59" s="3"/>
      <x:c r="P59" s="3"/>
      <x:c r="Q59" s="3"/>
      <x:c r="R59" s="3"/>
    </x:row>
    <x:row r="60" ht="38" customHeight="1">
      <x:c r="A60" s="46" t="str">
        <x:v>M03</x:v>
      </x:c>
      <x:c r="B60" s="46" t="str">
        <x:v>2 / Understand the value stream</x:v>
      </x:c>
      <x:c r="C60" s="46" t="str">
        <x:v>Swimlane and handoff analysis</x:v>
      </x:c>
      <x:c r="D60" s="46" t="str">
        <x:f>IFERROR(HYPERLINK("#'M03 Swimlanes'!A1","M03 Swimlanes"),"M03 Swimlanes")</x:f>
        <x:v>M03 Swimlanes</x:v>
      </x:c>
      <x:c r="E60" s="188" t="n">
        <x:v>204</x:v>
      </x:c>
      <x:c r="F60" s="188" t="n">
        <x:v>205</x:v>
      </x:c>
      <x:c r="G60" s="188" t="n">
        <x:v>206</x:v>
      </x:c>
      <x:c r="H60" s="46" t="str">
        <x:v>diagram</x:v>
      </x:c>
      <x:c r="I60" s="3"/>
      <x:c r="J60" s="3"/>
      <x:c r="K60" s="3"/>
      <x:c r="L60" s="3"/>
      <x:c r="M60" s="3"/>
      <x:c r="N60" s="3"/>
      <x:c r="O60" s="3"/>
      <x:c r="P60" s="3"/>
      <x:c r="Q60" s="3"/>
      <x:c r="R60" s="3"/>
    </x:row>
    <x:row r="61" ht="38" customHeight="1">
      <x:c r="A61" s="46" t="str">
        <x:v>M04</x:v>
      </x:c>
      <x:c r="B61" s="46" t="str">
        <x:v>2 / Understand the value stream</x:v>
      </x:c>
      <x:c r="C61" s="46" t="str">
        <x:v>Waste walk and opportunity register</x:v>
      </x:c>
      <x:c r="D61" s="46" t="str">
        <x:f>IFERROR(HYPERLINK("#'M04 Waste Walk'!A1","M04 Waste Walk"),"M04 Waste Walk")</x:f>
        <x:v>M04 Waste Walk</x:v>
      </x:c>
      <x:c r="E61" s="188" t="n">
        <x:v>207</x:v>
      </x:c>
      <x:c r="F61" s="188" t="n">
        <x:v>208</x:v>
      </x:c>
      <x:c r="G61" s="188" t="n">
        <x:v>209</x:v>
      </x:c>
      <x:c r="H61" s="46" t="str">
        <x:v>register</x:v>
      </x:c>
      <x:c r="I61" s="3"/>
      <x:c r="J61" s="3"/>
      <x:c r="K61" s="3"/>
      <x:c r="L61" s="3"/>
      <x:c r="M61" s="3"/>
      <x:c r="N61" s="3"/>
      <x:c r="O61" s="3"/>
      <x:c r="P61" s="3"/>
      <x:c r="Q61" s="3"/>
      <x:c r="R61" s="3"/>
    </x:row>
    <x:row r="62" ht="38" customHeight="1">
      <x:c r="A62" s="46" t="str">
        <x:v>M05</x:v>
      </x:c>
      <x:c r="B62" s="46" t="str">
        <x:v>2 / Understand the value stream</x:v>
      </x:c>
      <x:c r="C62" s="46" t="str">
        <x:v>Spaghetti map and digital navigation trace</x:v>
      </x:c>
      <x:c r="D62" s="46" t="str">
        <x:f>IFERROR(HYPERLINK("#'M05 Spaghetti'!A1","M05 Spaghetti"),"M05 Spaghetti")</x:f>
        <x:v>M05 Spaghetti</x:v>
      </x:c>
      <x:c r="E62" s="188" t="n">
        <x:v>210</x:v>
      </x:c>
      <x:c r="F62" s="188" t="n">
        <x:v>211</x:v>
      </x:c>
      <x:c r="G62" s="188" t="n">
        <x:v>212</x:v>
      </x:c>
      <x:c r="H62" s="46" t="str">
        <x:v>diagram</x:v>
      </x:c>
      <x:c r="I62" s="3"/>
      <x:c r="J62" s="3"/>
      <x:c r="K62" s="3"/>
      <x:c r="L62" s="3"/>
      <x:c r="M62" s="3"/>
      <x:c r="N62" s="3"/>
      <x:c r="O62" s="3"/>
      <x:c r="P62" s="3"/>
      <x:c r="Q62" s="3"/>
      <x:c r="R62" s="3"/>
    </x:row>
    <x:row r="63" ht="38" customHeight="1">
      <x:c r="A63" s="46" t="str">
        <x:v>M06</x:v>
      </x:c>
      <x:c r="B63" s="46" t="str">
        <x:v>2 / Understand the value stream</x:v>
      </x:c>
      <x:c r="C63" s="46" t="str">
        <x:v>Value-added, touch-time and delay analysis</x:v>
      </x:c>
      <x:c r="D63" s="46" t="str">
        <x:f>IFERROR(HYPERLINK("#'M06 Value Time'!A1","M06 Value Time"),"M06 Value Time")</x:f>
        <x:v>M06 Value Time</x:v>
      </x:c>
      <x:c r="E63" s="188" t="n">
        <x:v>213</x:v>
      </x:c>
      <x:c r="F63" s="188" t="n">
        <x:v>214</x:v>
      </x:c>
      <x:c r="G63" s="188" t="n">
        <x:v>215</x:v>
      </x:c>
      <x:c r="H63" s="46" t="str">
        <x:v>calculator</x:v>
      </x:c>
      <x:c r="I63" s="3"/>
      <x:c r="J63" s="3"/>
      <x:c r="K63" s="3"/>
      <x:c r="L63" s="3"/>
      <x:c r="M63" s="3"/>
      <x:c r="N63" s="3"/>
      <x:c r="O63" s="3"/>
      <x:c r="P63" s="3"/>
      <x:c r="Q63" s="3"/>
      <x:c r="R63" s="3"/>
    </x:row>
    <x:row r="64" ht="38" customHeight="1">
      <x:c r="A64" s="46" t="str">
        <x:v>M07</x:v>
      </x:c>
      <x:c r="B64" s="46" t="str">
        <x:v>2 / Understand the value stream</x:v>
      </x:c>
      <x:c r="C64" s="46" t="str">
        <x:v>Demand, capacity and workload analysis</x:v>
      </x:c>
      <x:c r="D64" s="46" t="str">
        <x:f>IFERROR(HYPERLINK("#'M07 Demand Capacity'!A1","M07 Demand Capacity"),"M07 Demand Capacity")</x:f>
        <x:v>M07 Demand Capacity</x:v>
      </x:c>
      <x:c r="E64" s="188" t="n">
        <x:v>216</x:v>
      </x:c>
      <x:c r="F64" s="188" t="n">
        <x:v>217</x:v>
      </x:c>
      <x:c r="G64" s="188" t="n">
        <x:v>218</x:v>
      </x:c>
      <x:c r="H64" s="46" t="str">
        <x:v>calculator</x:v>
      </x:c>
      <x:c r="I64" s="3"/>
      <x:c r="J64" s="3"/>
      <x:c r="K64" s="3"/>
      <x:c r="L64" s="3"/>
      <x:c r="M64" s="3"/>
      <x:c r="N64" s="3"/>
      <x:c r="O64" s="3"/>
      <x:c r="P64" s="3"/>
      <x:c r="Q64" s="3"/>
      <x:c r="R64" s="3"/>
    </x:row>
    <x:row r="65" ht="38" customHeight="1">
      <x:c r="A65" s="46" t="str">
        <x:v>M08</x:v>
      </x:c>
      <x:c r="B65" s="46" t="str">
        <x:v>2 / Understand the value stream</x:v>
      </x:c>
      <x:c r="C65" s="46" t="str">
        <x:v>Queue, work-in-progress and Little's Law review</x:v>
      </x:c>
      <x:c r="D65" s="46" t="str">
        <x:f>IFERROR(HYPERLINK("#'M08 Little Law'!A1","M08 Little Law"),"M08 Little Law")</x:f>
        <x:v>M08 Little Law</x:v>
      </x:c>
      <x:c r="E65" s="188" t="n">
        <x:v>219</x:v>
      </x:c>
      <x:c r="F65" s="188" t="n">
        <x:v>220</x:v>
      </x:c>
      <x:c r="G65" s="188" t="n">
        <x:v>221</x:v>
      </x:c>
      <x:c r="H65" s="46" t="str">
        <x:v>calculator</x:v>
      </x:c>
      <x:c r="I65" s="3"/>
      <x:c r="J65" s="3"/>
      <x:c r="K65" s="3"/>
      <x:c r="L65" s="3"/>
      <x:c r="M65" s="3"/>
      <x:c r="N65" s="3"/>
      <x:c r="O65" s="3"/>
      <x:c r="P65" s="3"/>
      <x:c r="Q65" s="3"/>
      <x:c r="R65" s="3"/>
    </x:row>
    <x:row r="66" ht="38" customHeight="1">
      <x:c r="A66" s="46" t="str">
        <x:v>M09</x:v>
      </x:c>
      <x:c r="B66" s="46" t="str">
        <x:v>2 / Understand the value stream</x:v>
      </x:c>
      <x:c r="C66" s="46" t="str">
        <x:v>Future-state value stream design</x:v>
      </x:c>
      <x:c r="D66" s="46" t="str">
        <x:f>IFERROR(HYPERLINK("#'M09 Future VSM'!A1","M09 Future VSM"),"M09 Future VSM")</x:f>
        <x:v>M09 Future VSM</x:v>
      </x:c>
      <x:c r="E66" s="188" t="n">
        <x:v>222</x:v>
      </x:c>
      <x:c r="F66" s="188" t="n">
        <x:v>223</x:v>
      </x:c>
      <x:c r="G66" s="188" t="n">
        <x:v>224</x:v>
      </x:c>
      <x:c r="H66" s="46" t="str">
        <x:v>vsm</x:v>
      </x:c>
      <x:c r="I66" s="3"/>
      <x:c r="J66" s="3"/>
      <x:c r="K66" s="3"/>
      <x:c r="L66" s="3"/>
      <x:c r="M66" s="3"/>
      <x:c r="N66" s="3"/>
      <x:c r="O66" s="3"/>
      <x:c r="P66" s="3"/>
      <x:c r="Q66" s="3"/>
      <x:c r="R66" s="3"/>
    </x:row>
    <x:row r="67" ht="38" customHeight="1">
      <x:c r="A67" s="46" t="str">
        <x:v>F01</x:v>
      </x:c>
      <x:c r="B67" s="46" t="str">
        <x:v>2 / Make value flow</x:v>
      </x:c>
      <x:c r="C67" s="46" t="str">
        <x:v>Eliminate, combine, simplify, sequence review</x:v>
      </x:c>
      <x:c r="D67" s="46" t="str">
        <x:f>IFERROR(HYPERLINK("#'F01 ECSS'!A1","F01 ECSS"),"F01 ECSS")</x:f>
        <x:v>F01 ECSS</x:v>
      </x:c>
      <x:c r="E67" s="188" t="n">
        <x:v>228</x:v>
      </x:c>
      <x:c r="F67" s="188" t="n">
        <x:v>229</x:v>
      </x:c>
      <x:c r="G67" s="188" t="n">
        <x:v>230</x:v>
      </x:c>
      <x:c r="H67" s="46" t="str">
        <x:v>matrix</x:v>
      </x:c>
      <x:c r="I67" s="3"/>
      <x:c r="J67" s="3"/>
      <x:c r="K67" s="3"/>
      <x:c r="L67" s="3"/>
      <x:c r="M67" s="3"/>
      <x:c r="N67" s="3"/>
      <x:c r="O67" s="3"/>
      <x:c r="P67" s="3"/>
      <x:c r="Q67" s="3"/>
      <x:c r="R67" s="3"/>
    </x:row>
    <x:row r="68" ht="38" customHeight="1">
      <x:c r="A68" s="46" t="str">
        <x:v>F02</x:v>
      </x:c>
      <x:c r="B68" s="46" t="str">
        <x:v>2 / Make value flow</x:v>
      </x:c>
      <x:c r="C68" s="46" t="str">
        <x:v>5S for physical and digital workspaces</x:v>
      </x:c>
      <x:c r="D68" s="46" t="str">
        <x:f>IFERROR(HYPERLINK("#'F02 5S'!A1","F02 5S"),"F02 5S")</x:f>
        <x:v>F02 5S</x:v>
      </x:c>
      <x:c r="E68" s="188" t="n">
        <x:v>231</x:v>
      </x:c>
      <x:c r="F68" s="188" t="n">
        <x:v>232</x:v>
      </x:c>
      <x:c r="G68" s="188" t="n">
        <x:v>233</x:v>
      </x:c>
      <x:c r="H68" s="46" t="str">
        <x:v>checklist</x:v>
      </x:c>
      <x:c r="I68" s="3"/>
      <x:c r="J68" s="3"/>
      <x:c r="K68" s="3"/>
      <x:c r="L68" s="3"/>
      <x:c r="M68" s="3"/>
      <x:c r="N68" s="3"/>
      <x:c r="O68" s="3"/>
      <x:c r="P68" s="3"/>
      <x:c r="Q68" s="3"/>
      <x:c r="R68" s="3"/>
    </x:row>
    <x:row r="69" ht="38" customHeight="1">
      <x:c r="A69" s="46" t="str">
        <x:v>F03</x:v>
      </x:c>
      <x:c r="B69" s="46" t="str">
        <x:v>2 / Make value flow</x:v>
      </x:c>
      <x:c r="C69" s="46" t="str">
        <x:v>Standardised work and exception instructions</x:v>
      </x:c>
      <x:c r="D69" s="46" t="str">
        <x:f>IFERROR(HYPERLINK("#'F03 Standard Work'!A1","F03 Standard Work"),"F03 Standard Work")</x:f>
        <x:v>F03 Standard Work</x:v>
      </x:c>
      <x:c r="E69" s="188" t="n">
        <x:v>234</x:v>
      </x:c>
      <x:c r="F69" s="188" t="n">
        <x:v>235</x:v>
      </x:c>
      <x:c r="G69" s="188" t="n">
        <x:v>236</x:v>
      </x:c>
      <x:c r="H69" s="46" t="str">
        <x:v>standard</x:v>
      </x:c>
      <x:c r="I69" s="3"/>
      <x:c r="J69" s="3"/>
      <x:c r="K69" s="3"/>
      <x:c r="L69" s="3"/>
      <x:c r="M69" s="3"/>
      <x:c r="N69" s="3"/>
      <x:c r="O69" s="3"/>
      <x:c r="P69" s="3"/>
      <x:c r="Q69" s="3"/>
      <x:c r="R69" s="3"/>
    </x:row>
    <x:row r="70" ht="38" customHeight="1">
      <x:c r="A70" s="46" t="str">
        <x:v>F04</x:v>
      </x:c>
      <x:c r="B70" s="46" t="str">
        <x:v>2 / Make value flow</x:v>
      </x:c>
      <x:c r="C70" s="46" t="str">
        <x:v>Mistake-proofing design and verification</x:v>
      </x:c>
      <x:c r="D70" s="46" t="str">
        <x:f>IFERROR(HYPERLINK("#'F04 Mistake Proofing'!A1","F04 Mistake Proofing"),"F04 Mistake Proofing")</x:f>
        <x:v>F04 Mistake Proofing</x:v>
      </x:c>
      <x:c r="E70" s="188" t="n">
        <x:v>237</x:v>
      </x:c>
      <x:c r="F70" s="188" t="n">
        <x:v>238</x:v>
      </x:c>
      <x:c r="G70" s="188" t="n">
        <x:v>239</x:v>
      </x:c>
      <x:c r="H70" s="46" t="str">
        <x:v>register</x:v>
      </x:c>
      <x:c r="I70" s="3"/>
      <x:c r="J70" s="3"/>
      <x:c r="K70" s="3"/>
      <x:c r="L70" s="3"/>
      <x:c r="M70" s="3"/>
      <x:c r="N70" s="3"/>
      <x:c r="O70" s="3"/>
      <x:c r="P70" s="3"/>
      <x:c r="Q70" s="3"/>
      <x:c r="R70" s="3"/>
    </x:row>
    <x:row r="71" ht="38" customHeight="1">
      <x:c r="A71" s="46" t="str">
        <x:v>F05</x:v>
      </x:c>
      <x:c r="B71" s="46" t="str">
        <x:v>2 / Make value flow</x:v>
      </x:c>
      <x:c r="C71" s="46" t="str">
        <x:v>Stop, signal and escalation protocol</x:v>
      </x:c>
      <x:c r="D71" s="46" t="str">
        <x:f>IFERROR(HYPERLINK("#'F05 Stop Signal'!A1","F05 Stop Signal"),"F05 Stop Signal")</x:f>
        <x:v>F05 Stop Signal</x:v>
      </x:c>
      <x:c r="E71" s="188" t="n">
        <x:v>240</x:v>
      </x:c>
      <x:c r="F71" s="188" t="n">
        <x:v>241</x:v>
      </x:c>
      <x:c r="G71" s="188" t="n">
        <x:v>242</x:v>
      </x:c>
      <x:c r="H71" s="46" t="str">
        <x:v>protocol</x:v>
      </x:c>
      <x:c r="I71" s="3"/>
      <x:c r="J71" s="3"/>
      <x:c r="K71" s="3"/>
      <x:c r="L71" s="3"/>
      <x:c r="M71" s="3"/>
      <x:c r="N71" s="3"/>
      <x:c r="O71" s="3"/>
      <x:c r="P71" s="3"/>
      <x:c r="Q71" s="3"/>
      <x:c r="R71" s="3"/>
    </x:row>
    <x:row r="72" ht="38" customHeight="1">
      <x:c r="A72" s="46" t="str">
        <x:v>F06</x:v>
      </x:c>
      <x:c r="B72" s="46" t="str">
        <x:v>2 / Make value flow</x:v>
      </x:c>
      <x:c r="C72" s="46" t="str">
        <x:v>Batch-size reduction experiment</x:v>
      </x:c>
      <x:c r="D72" s="46" t="str">
        <x:f>IFERROR(HYPERLINK("#'F06 Batch Test'!A1","F06 Batch Test"),"F06 Batch Test")</x:f>
        <x:v>F06 Batch Test</x:v>
      </x:c>
      <x:c r="E72" s="188" t="n">
        <x:v>243</x:v>
      </x:c>
      <x:c r="F72" s="188" t="n">
        <x:v>244</x:v>
      </x:c>
      <x:c r="G72" s="188" t="n">
        <x:v>245</x:v>
      </x:c>
      <x:c r="H72" s="46" t="str">
        <x:v>experiment</x:v>
      </x:c>
      <x:c r="I72" s="3"/>
      <x:c r="J72" s="3"/>
      <x:c r="K72" s="3"/>
      <x:c r="L72" s="3"/>
      <x:c r="M72" s="3"/>
      <x:c r="N72" s="3"/>
      <x:c r="O72" s="3"/>
      <x:c r="P72" s="3"/>
      <x:c r="Q72" s="3"/>
      <x:c r="R72" s="3"/>
    </x:row>
    <x:row r="73" ht="38" customHeight="1">
      <x:c r="A73" s="46" t="str">
        <x:v>F07</x:v>
      </x:c>
      <x:c r="B73" s="46" t="str">
        <x:v>2 / Make value flow</x:v>
      </x:c>
      <x:c r="C73" s="46" t="str">
        <x:v>Work-element balance and constraint review</x:v>
      </x:c>
      <x:c r="D73" s="46" t="str">
        <x:f>IFERROR(HYPERLINK("#'F07 Work Balance'!A1","F07 Work Balance"),"F07 Work Balance")</x:f>
        <x:v>F07 Work Balance</x:v>
      </x:c>
      <x:c r="E73" s="188" t="n">
        <x:v>246</x:v>
      </x:c>
      <x:c r="F73" s="188" t="n">
        <x:v>247</x:v>
      </x:c>
      <x:c r="G73" s="188" t="n">
        <x:v>248</x:v>
      </x:c>
      <x:c r="H73" s="46" t="str">
        <x:v>calculator</x:v>
      </x:c>
      <x:c r="I73" s="3"/>
      <x:c r="J73" s="3"/>
      <x:c r="K73" s="3"/>
      <x:c r="L73" s="3"/>
      <x:c r="M73" s="3"/>
      <x:c r="N73" s="3"/>
      <x:c r="O73" s="3"/>
      <x:c r="P73" s="3"/>
      <x:c r="Q73" s="3"/>
      <x:c r="R73" s="3"/>
    </x:row>
    <x:row r="74" ht="38" customHeight="1">
      <x:c r="A74" s="46" t="str">
        <x:v>F08</x:v>
      </x:c>
      <x:c r="B74" s="46" t="str">
        <x:v>2 / Make value flow</x:v>
      </x:c>
      <x:c r="C74" s="46" t="str">
        <x:v>Changeover and setup reduction</x:v>
      </x:c>
      <x:c r="D74" s="46" t="str">
        <x:f>IFERROR(HYPERLINK("#'F08 Changeover'!A1","F08 Changeover"),"F08 Changeover")</x:f>
        <x:v>F08 Changeover</x:v>
      </x:c>
      <x:c r="E74" s="188" t="n">
        <x:v>249</x:v>
      </x:c>
      <x:c r="F74" s="188" t="n">
        <x:v>250</x:v>
      </x:c>
      <x:c r="G74" s="188" t="n">
        <x:v>251</x:v>
      </x:c>
      <x:c r="H74" s="46" t="str">
        <x:v>register</x:v>
      </x:c>
      <x:c r="I74" s="3"/>
      <x:c r="J74" s="3"/>
      <x:c r="K74" s="3"/>
      <x:c r="L74" s="3"/>
      <x:c r="M74" s="3"/>
      <x:c r="N74" s="3"/>
      <x:c r="O74" s="3"/>
      <x:c r="P74" s="3"/>
      <x:c r="Q74" s="3"/>
      <x:c r="R74" s="3"/>
    </x:row>
    <x:row r="75" ht="38" customHeight="1">
      <x:c r="A75" s="46" t="str">
        <x:v>F09</x:v>
      </x:c>
      <x:c r="B75" s="46" t="str">
        <x:v>2 / Make value flow</x:v>
      </x:c>
      <x:c r="C75" s="46" t="str">
        <x:v>Process FMEA and control-action register</x:v>
      </x:c>
      <x:c r="D75" s="46" t="str">
        <x:f>IFERROR(HYPERLINK("#'F09 FMEA'!A1","F09 FMEA"),"F09 FMEA")</x:f>
        <x:v>F09 FMEA</x:v>
      </x:c>
      <x:c r="E75" s="188" t="n">
        <x:v>252</x:v>
      </x:c>
      <x:c r="F75" s="188" t="n">
        <x:v>253</x:v>
      </x:c>
      <x:c r="G75" s="188" t="n">
        <x:v>254</x:v>
      </x:c>
      <x:c r="H75" s="46" t="str">
        <x:v>calculator</x:v>
      </x:c>
      <x:c r="I75" s="3"/>
      <x:c r="J75" s="3"/>
      <x:c r="K75" s="3"/>
      <x:c r="L75" s="3"/>
      <x:c r="M75" s="3"/>
      <x:c r="N75" s="3"/>
      <x:c r="O75" s="3"/>
      <x:c r="P75" s="3"/>
      <x:c r="Q75" s="3"/>
      <x:c r="R75" s="3"/>
    </x:row>
    <x:row r="76" ht="38" customHeight="1">
      <x:c r="A76" s="46" t="str">
        <x:v>F10</x:v>
      </x:c>
      <x:c r="B76" s="46" t="str">
        <x:v>2 / Make value flow</x:v>
      </x:c>
      <x:c r="C76" s="46" t="str">
        <x:v>Kaizen event design and facilitation</x:v>
      </x:c>
      <x:c r="D76" s="46" t="str">
        <x:f>IFERROR(HYPERLINK("#'F10 Kaizen Event'!A1","F10 Kaizen Event"),"F10 Kaizen Event")</x:f>
        <x:v>F10 Kaizen Event</x:v>
      </x:c>
      <x:c r="E76" s="188" t="n">
        <x:v>256</x:v>
      </x:c>
      <x:c r="F76" s="188" t="n">
        <x:v>257</x:v>
      </x:c>
      <x:c r="G76" s="188" t="n">
        <x:v>258</x:v>
      </x:c>
      <x:c r="H76" s="46" t="str">
        <x:v>script</x:v>
      </x:c>
      <x:c r="I76" s="3"/>
      <x:c r="J76" s="3"/>
      <x:c r="K76" s="3"/>
      <x:c r="L76" s="3"/>
      <x:c r="M76" s="3"/>
      <x:c r="N76" s="3"/>
      <x:c r="O76" s="3"/>
      <x:c r="P76" s="3"/>
      <x:c r="Q76" s="3"/>
      <x:c r="R76" s="3"/>
    </x:row>
    <x:row r="77" ht="38" customHeight="1">
      <x:c r="A77" s="46" t="str">
        <x:v>F11</x:v>
      </x:c>
      <x:c r="B77" s="46" t="str">
        <x:v>2 / Make value flow</x:v>
      </x:c>
      <x:c r="C77" s="46" t="str">
        <x:v>Simplify-before-automating assessment</x:v>
      </x:c>
      <x:c r="D77" s="46" t="str">
        <x:f>IFERROR(HYPERLINK("#'F11 Automation'!A1","F11 Automation"),"F11 Automation")</x:f>
        <x:v>F11 Automation</x:v>
      </x:c>
      <x:c r="E77" s="188" t="n">
        <x:v>261</x:v>
      </x:c>
      <x:c r="F77" s="188" t="n">
        <x:v>262</x:v>
      </x:c>
      <x:c r="G77" s="188" t="n">
        <x:v>263</x:v>
      </x:c>
      <x:c r="H77" s="46" t="str">
        <x:v>decision</x:v>
      </x:c>
      <x:c r="I77" s="3"/>
      <x:c r="J77" s="3"/>
      <x:c r="K77" s="3"/>
      <x:c r="L77" s="3"/>
      <x:c r="M77" s="3"/>
      <x:c r="N77" s="3"/>
      <x:c r="O77" s="3"/>
      <x:c r="P77" s="3"/>
      <x:c r="Q77" s="3"/>
      <x:c r="R77" s="3"/>
    </x:row>
    <x:row r="78" ht="38" customHeight="1">
      <x:c r="A78" s="46" t="str">
        <x:v>L01</x:v>
      </x:c>
      <x:c r="B78" s="46" t="str">
        <x:v>2 / Establish pull</x:v>
      </x:c>
      <x:c r="C78" s="46" t="str">
        <x:v>Takt time and pitch calculator</x:v>
      </x:c>
      <x:c r="D78" s="46" t="str">
        <x:f>IFERROR(HYPERLINK("#'L01 Takt Pitch'!A1","L01 Takt Pitch"),"L01 Takt Pitch")</x:f>
        <x:v>L01 Takt Pitch</x:v>
      </x:c>
      <x:c r="E78" s="188" t="n">
        <x:v>267</x:v>
      </x:c>
      <x:c r="F78" s="188" t="n">
        <x:v>268</x:v>
      </x:c>
      <x:c r="G78" s="188" t="n">
        <x:v>269</x:v>
      </x:c>
      <x:c r="H78" s="46" t="str">
        <x:v>calculator</x:v>
      </x:c>
      <x:c r="I78" s="3"/>
      <x:c r="J78" s="3"/>
      <x:c r="K78" s="3"/>
      <x:c r="L78" s="3"/>
      <x:c r="M78" s="3"/>
      <x:c r="N78" s="3"/>
      <x:c r="O78" s="3"/>
      <x:c r="P78" s="3"/>
      <x:c r="Q78" s="3"/>
      <x:c r="R78" s="3"/>
    </x:row>
    <x:row r="79" ht="38" customHeight="1">
      <x:c r="A79" s="46" t="str">
        <x:v>L02</x:v>
      </x:c>
      <x:c r="B79" s="46" t="str">
        <x:v>2 / Establish pull</x:v>
      </x:c>
      <x:c r="C79" s="46" t="str">
        <x:v>Service Kanban and WIP-limit policy</x:v>
      </x:c>
      <x:c r="D79" s="46" t="str">
        <x:f>IFERROR(HYPERLINK("#'L02 Kanban'!A1","L02 Kanban"),"L02 Kanban")</x:f>
        <x:v>L02 Kanban</x:v>
      </x:c>
      <x:c r="E79" s="188" t="n">
        <x:v>270</x:v>
      </x:c>
      <x:c r="F79" s="188" t="n">
        <x:v>271</x:v>
      </x:c>
      <x:c r="G79" s="188" t="n">
        <x:v>272</x:v>
      </x:c>
      <x:c r="H79" s="46" t="str">
        <x:v>board</x:v>
      </x:c>
      <x:c r="I79" s="3"/>
      <x:c r="J79" s="3"/>
      <x:c r="K79" s="3"/>
      <x:c r="L79" s="3"/>
      <x:c r="M79" s="3"/>
      <x:c r="N79" s="3"/>
      <x:c r="O79" s="3"/>
      <x:c r="P79" s="3"/>
      <x:c r="Q79" s="3"/>
      <x:c r="R79" s="3"/>
    </x:row>
    <x:row r="80" ht="38" customHeight="1">
      <x:c r="A80" s="46" t="str">
        <x:v>L03</x:v>
      </x:c>
      <x:c r="B80" s="46" t="str">
        <x:v>2 / Establish pull</x:v>
      </x:c>
      <x:c r="C80" s="46" t="str">
        <x:v>Replenishment signal and container calculation</x:v>
      </x:c>
      <x:c r="D80" s="46" t="str">
        <x:f>IFERROR(HYPERLINK("#'L03 Replenishment'!A1","L03 Replenishment"),"L03 Replenishment")</x:f>
        <x:v>L03 Replenishment</x:v>
      </x:c>
      <x:c r="E80" s="188" t="n">
        <x:v>273</x:v>
      </x:c>
      <x:c r="F80" s="188" t="n">
        <x:v>274</x:v>
      </x:c>
      <x:c r="G80" s="188" t="n">
        <x:v>275</x:v>
      </x:c>
      <x:c r="H80" s="46" t="str">
        <x:v>calculator</x:v>
      </x:c>
      <x:c r="I80" s="3"/>
      <x:c r="J80" s="3"/>
      <x:c r="K80" s="3"/>
      <x:c r="L80" s="3"/>
      <x:c r="M80" s="3"/>
      <x:c r="N80" s="3"/>
      <x:c r="O80" s="3"/>
      <x:c r="P80" s="3"/>
      <x:c r="Q80" s="3"/>
      <x:c r="R80" s="3"/>
    </x:row>
    <x:row r="81" ht="38" customHeight="1">
      <x:c r="A81" s="46" t="str">
        <x:v>L04</x:v>
      </x:c>
      <x:c r="B81" s="46" t="str">
        <x:v>2 / Establish pull</x:v>
      </x:c>
      <x:c r="C81" s="46" t="str">
        <x:v>Workload levelling and release pattern</x:v>
      </x:c>
      <x:c r="D81" s="46" t="str">
        <x:f>IFERROR(HYPERLINK("#'L04 Levelling'!A1","L04 Levelling"),"L04 Levelling")</x:f>
        <x:v>L04 Levelling</x:v>
      </x:c>
      <x:c r="E81" s="188" t="n">
        <x:v>276</x:v>
      </x:c>
      <x:c r="F81" s="188" t="n">
        <x:v>277</x:v>
      </x:c>
      <x:c r="G81" s="188" t="n">
        <x:v>278</x:v>
      </x:c>
      <x:c r="H81" s="46" t="str">
        <x:v>schedule</x:v>
      </x:c>
      <x:c r="I81" s="3"/>
      <x:c r="J81" s="3"/>
      <x:c r="K81" s="3"/>
      <x:c r="L81" s="3"/>
      <x:c r="M81" s="3"/>
      <x:c r="N81" s="3"/>
      <x:c r="O81" s="3"/>
      <x:c r="P81" s="3"/>
      <x:c r="Q81" s="3"/>
      <x:c r="R81" s="3"/>
    </x:row>
    <x:row r="82" ht="38" customHeight="1">
      <x:c r="A82" s="46" t="str">
        <x:v>L05</x:v>
      </x:c>
      <x:c r="B82" s="46" t="str">
        <x:v>2 / Establish pull</x:v>
      </x:c>
      <x:c r="C82" s="46" t="str">
        <x:v>FIFO, ageing and exception rules</x:v>
      </x:c>
      <x:c r="D82" s="46" t="str">
        <x:f>IFERROR(HYPERLINK("#'L05 FIFO'!A1","L05 FIFO"),"L05 FIFO")</x:f>
        <x:v>L05 FIFO</x:v>
      </x:c>
      <x:c r="E82" s="188" t="n">
        <x:v>279</x:v>
      </x:c>
      <x:c r="F82" s="188" t="n">
        <x:v>280</x:v>
      </x:c>
      <x:c r="G82" s="188" t="n">
        <x:v>281</x:v>
      </x:c>
      <x:c r="H82" s="46" t="str">
        <x:v>policy</x:v>
      </x:c>
      <x:c r="I82" s="3"/>
      <x:c r="J82" s="3"/>
      <x:c r="K82" s="3"/>
      <x:c r="L82" s="3"/>
      <x:c r="M82" s="3"/>
      <x:c r="N82" s="3"/>
      <x:c r="O82" s="3"/>
      <x:c r="P82" s="3"/>
      <x:c r="Q82" s="3"/>
      <x:c r="R82" s="3"/>
    </x:row>
    <x:row r="83" ht="38" customHeight="1">
      <x:c r="A83" s="46" t="str">
        <x:v>L06</x:v>
      </x:c>
      <x:c r="B83" s="46" t="str">
        <x:v>2 / Establish pull</x:v>
      </x:c>
      <x:c r="C83" s="46" t="str">
        <x:v>Daily performance board and response routine</x:v>
      </x:c>
      <x:c r="D83" s="46" t="str">
        <x:f>IFERROR(HYPERLINK("#'L06 Daily Board'!A1","L06 Daily Board"),"L06 Daily Board")</x:f>
        <x:v>L06 Daily Board</x:v>
      </x:c>
      <x:c r="E83" s="188" t="n">
        <x:v>282</x:v>
      </x:c>
      <x:c r="F83" s="188" t="n">
        <x:v>283</x:v>
      </x:c>
      <x:c r="G83" s="188" t="n">
        <x:v>284</x:v>
      </x:c>
      <x:c r="H83" s="46" t="str">
        <x:v>board</x:v>
      </x:c>
      <x:c r="I83" s="3"/>
      <x:c r="J83" s="3"/>
      <x:c r="K83" s="3"/>
      <x:c r="L83" s="3"/>
      <x:c r="M83" s="3"/>
      <x:c r="N83" s="3"/>
      <x:c r="O83" s="3"/>
      <x:c r="P83" s="3"/>
      <x:c r="Q83" s="3"/>
      <x:c r="R83" s="3"/>
    </x:row>
    <x:row r="84" ht="38" customHeight="1">
      <x:c r="A84" s="46" t="str">
        <x:v>C01</x:v>
      </x:c>
      <x:c r="B84" s="46" t="str">
        <x:v>2 / Pursue continuous improvement</x:v>
      </x:c>
      <x:c r="C84" s="46" t="str">
        <x:v>Leader standard work for improvement</x:v>
      </x:c>
      <x:c r="D84" s="46" t="str">
        <x:f>IFERROR(HYPERLINK("#'C01 Leader Work'!A1","C01 Leader Work"),"C01 Leader Work")</x:f>
        <x:v>C01 Leader Work</x:v>
      </x:c>
      <x:c r="E84" s="188" t="n">
        <x:v>288</x:v>
      </x:c>
      <x:c r="F84" s="188" t="n">
        <x:v>289</x:v>
      </x:c>
      <x:c r="G84" s="188" t="n">
        <x:v>290</x:v>
      </x:c>
      <x:c r="H84" s="46" t="str">
        <x:v>schedule</x:v>
      </x:c>
      <x:c r="I84" s="3"/>
      <x:c r="J84" s="3"/>
      <x:c r="K84" s="3"/>
      <x:c r="L84" s="3"/>
      <x:c r="M84" s="3"/>
      <x:c r="N84" s="3"/>
      <x:c r="O84" s="3"/>
      <x:c r="P84" s="3"/>
      <x:c r="Q84" s="3"/>
      <x:c r="R84" s="3"/>
    </x:row>
    <x:row r="85" ht="38" customHeight="1">
      <x:c r="A85" s="46" t="str">
        <x:v>C02</x:v>
      </x:c>
      <x:c r="B85" s="46" t="str">
        <x:v>2 / Pursue continuous improvement</x:v>
      </x:c>
      <x:c r="C85" s="46" t="str">
        <x:v>Improvement coaching conversation</x:v>
      </x:c>
      <x:c r="D85" s="46" t="str">
        <x:f>IFERROR(HYPERLINK("#'C02 Coaching'!A1","C02 Coaching"),"C02 Coaching")</x:f>
        <x:v>C02 Coaching</x:v>
      </x:c>
      <x:c r="E85" s="188" t="n">
        <x:v>291</x:v>
      </x:c>
      <x:c r="F85" s="188" t="n">
        <x:v>292</x:v>
      </x:c>
      <x:c r="G85" s="188" t="n">
        <x:v>293</x:v>
      </x:c>
      <x:c r="H85" s="46" t="str">
        <x:v>script</x:v>
      </x:c>
      <x:c r="I85" s="3"/>
      <x:c r="J85" s="3"/>
      <x:c r="K85" s="3"/>
      <x:c r="L85" s="3"/>
      <x:c r="M85" s="3"/>
      <x:c r="N85" s="3"/>
      <x:c r="O85" s="3"/>
      <x:c r="P85" s="3"/>
      <x:c r="Q85" s="3"/>
      <x:c r="R85" s="3"/>
    </x:row>
    <x:row r="86" ht="38" customHeight="1">
      <x:c r="A86" s="46" t="str">
        <x:v>C03</x:v>
      </x:c>
      <x:c r="B86" s="46" t="str">
        <x:v>2 / Pursue continuous improvement</x:v>
      </x:c>
      <x:c r="C86" s="46" t="str">
        <x:v>Kaizen suggestion and experiment funnel</x:v>
      </x:c>
      <x:c r="D86" s="46" t="str">
        <x:f>IFERROR(HYPERLINK("#'C03 Ideas'!A1","C03 Ideas"),"C03 Ideas")</x:f>
        <x:v>C03 Ideas</x:v>
      </x:c>
      <x:c r="E86" s="188" t="n">
        <x:v>294</x:v>
      </x:c>
      <x:c r="F86" s="188" t="n">
        <x:v>295</x:v>
      </x:c>
      <x:c r="G86" s="188" t="n">
        <x:v>296</x:v>
      </x:c>
      <x:c r="H86" s="46" t="str">
        <x:v>register</x:v>
      </x:c>
      <x:c r="I86" s="3"/>
      <x:c r="J86" s="3"/>
      <x:c r="K86" s="3"/>
      <x:c r="L86" s="3"/>
      <x:c r="M86" s="3"/>
      <x:c r="N86" s="3"/>
      <x:c r="O86" s="3"/>
      <x:c r="P86" s="3"/>
      <x:c r="Q86" s="3"/>
      <x:c r="R86" s="3"/>
    </x:row>
    <x:row r="87" ht="38" customHeight="1">
      <x:c r="A87" s="46" t="str">
        <x:v>C04</x:v>
      </x:c>
      <x:c r="B87" s="46" t="str">
        <x:v>2 / Pursue continuous improvement</x:v>
      </x:c>
      <x:c r="C87" s="46" t="str">
        <x:v>Layered process review and improvement audit</x:v>
      </x:c>
      <x:c r="D87" s="46" t="str">
        <x:f>IFERROR(HYPERLINK("#'C04 Process Review'!A1","C04 Process Review"),"C04 Process Review")</x:f>
        <x:v>C04 Process Review</x:v>
      </x:c>
      <x:c r="E87" s="188" t="n">
        <x:v>297</x:v>
      </x:c>
      <x:c r="F87" s="188" t="n">
        <x:v>298</x:v>
      </x:c>
      <x:c r="G87" s="188" t="n">
        <x:v>299</x:v>
      </x:c>
      <x:c r="H87" s="46" t="str">
        <x:v>checklist</x:v>
      </x:c>
      <x:c r="I87" s="3"/>
      <x:c r="J87" s="3"/>
      <x:c r="K87" s="3"/>
      <x:c r="L87" s="3"/>
      <x:c r="M87" s="3"/>
      <x:c r="N87" s="3"/>
      <x:c r="O87" s="3"/>
      <x:c r="P87" s="3"/>
      <x:c r="Q87" s="3"/>
      <x:c r="R87" s="3"/>
    </x:row>
    <x:row r="88" ht="38" customHeight="1">
      <x:c r="A88" s="46" t="str">
        <x:v>C05</x:v>
      </x:c>
      <x:c r="B88" s="46" t="str">
        <x:v>2 / Pursue continuous improvement</x:v>
      </x:c>
      <x:c r="C88" s="46" t="str">
        <x:v>Improvement-system maturity conversation</x:v>
      </x:c>
      <x:c r="D88" s="46" t="str">
        <x:f>IFERROR(HYPERLINK("#'C05 Maturity'!A1","C05 Maturity"),"C05 Maturity")</x:f>
        <x:v>C05 Maturity</x:v>
      </x:c>
      <x:c r="E88" s="188" t="n">
        <x:v>300</x:v>
      </x:c>
      <x:c r="F88" s="188" t="n">
        <x:v>301</x:v>
      </x:c>
      <x:c r="G88" s="188" t="n">
        <x:v>302</x:v>
      </x:c>
      <x:c r="H88" s="46" t="str">
        <x:v>rubric</x:v>
      </x:c>
      <x:c r="I88" s="3"/>
      <x:c r="J88" s="3"/>
      <x:c r="K88" s="3"/>
      <x:c r="L88" s="3"/>
      <x:c r="M88" s="3"/>
      <x:c r="N88" s="3"/>
      <x:c r="O88" s="3"/>
      <x:c r="P88" s="3"/>
      <x:c r="Q88" s="3"/>
      <x:c r="R88" s="3"/>
    </x:row>
    <x:row r="89" ht="38" customHeight="1">
      <x:c r="A89" s="46" t="str">
        <x:v>C06</x:v>
      </x:c>
      <x:c r="B89" s="46" t="str">
        <x:v>2 / Pursue continuous improvement</x:v>
      </x:c>
      <x:c r="C89" s="46" t="str">
        <x:v>Sustainability and improvement portfolio review</x:v>
      </x:c>
      <x:c r="D89" s="46" t="str">
        <x:f>IFERROR(HYPERLINK("#'C06 Sustainability'!A1","C06 Sustainability"),"C06 Sustainability")</x:f>
        <x:v>C06 Sustainability</x:v>
      </x:c>
      <x:c r="E89" s="188" t="n">
        <x:v>306</x:v>
      </x:c>
      <x:c r="F89" s="188" t="n">
        <x:v>307</x:v>
      </x:c>
      <x:c r="G89" s="188" t="n">
        <x:v>308</x:v>
      </x:c>
      <x:c r="H89" s="46" t="str">
        <x:v>review</x:v>
      </x:c>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s>
  <x:pageMargins left="0.7" right="0.7" top="0.75" bottom="0.75" header="0.3" footer="0.3"/>
</x:worksheet>
</file>

<file path=xl/worksheets/sheet4.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34" hidden="0" customWidth="1"/>
    <x:col min="2" max="2" width="29" hidden="0" customWidth="1"/>
    <x:col min="3" max="3" width="59" hidden="0" customWidth="1"/>
    <x:col min="4" max="4" width="30"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HR DELIVERY | 03 Dashboard</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Process Improvement Framework &amp; Toolkit - companion working records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176" t="str">
        <x:v>LIVE PROCESS VIEW | Select a phase in 01 Setup. No fictional examples feed this dashboard.</x:v>
      </x:c>
      <x:c r="B8" s="176"/>
      <x:c r="C8" s="176"/>
      <x:c r="D8" s="176"/>
      <x:c r="E8" s="176"/>
      <x:c r="F8" s="176"/>
      <x:c r="G8" s="176"/>
      <x:c r="H8" s="176"/>
      <x:c r="I8" s="176"/>
      <x:c r="J8" s="176"/>
      <x:c r="K8" s="176"/>
      <x:c r="L8" s="176"/>
      <x:c r="M8" s="3"/>
      <x:c r="N8" s="3"/>
      <x:c r="O8" s="3"/>
      <x:c r="P8" s="3"/>
      <x:c r="Q8" s="3"/>
      <x:c r="R8" s="3"/>
    </x:row>
    <x:row r="9" ht="20" customHeight="1">
      <x:c r="A9" s="176"/>
      <x:c r="B9" s="176"/>
      <x:c r="C9" s="176"/>
      <x:c r="D9" s="176"/>
      <x:c r="E9" s="176"/>
      <x:c r="F9" s="176"/>
      <x:c r="G9" s="176"/>
      <x:c r="H9" s="176"/>
      <x:c r="I9" s="176"/>
      <x:c r="J9" s="176"/>
      <x:c r="K9" s="176"/>
      <x:c r="L9" s="176"/>
      <x:c r="M9" s="3"/>
      <x:c r="N9" s="3"/>
      <x:c r="O9" s="3"/>
      <x:c r="P9" s="3"/>
      <x:c r="Q9" s="3"/>
      <x:c r="R9" s="3"/>
    </x:row>
    <x:row r="10" ht="20" customHeight="1">
      <x:c r="A10" s="176"/>
      <x:c r="B10" s="176"/>
      <x:c r="C10" s="176"/>
      <x:c r="D10" s="176"/>
      <x:c r="E10" s="176"/>
      <x:c r="F10" s="176"/>
      <x:c r="G10" s="176"/>
      <x:c r="H10" s="176"/>
      <x:c r="I10" s="176"/>
      <x:c r="J10" s="176"/>
      <x:c r="K10" s="176"/>
      <x:c r="L10" s="176"/>
      <x:c r="M10" s="3"/>
      <x:c r="N10" s="3"/>
      <x:c r="O10" s="3"/>
      <x:c r="P10" s="3"/>
      <x:c r="Q10" s="3"/>
      <x:c r="R10" s="3"/>
    </x:row>
    <x:row r="11" ht="20" customHeight="1">
      <x:c r="A11" s="3"/>
      <x:c r="B11" s="3"/>
      <x:c r="C11" s="3"/>
      <x:c r="D11" s="3"/>
      <x:c r="E11" s="3"/>
      <x:c r="F11" s="3"/>
      <x:c r="G11" s="3"/>
      <x:c r="H11" s="3"/>
      <x:c r="I11" s="3"/>
      <x:c r="J11" s="3"/>
      <x:c r="K11" s="3"/>
      <x:c r="L11" s="3"/>
      <x:c r="M11" s="3"/>
      <x:c r="N11" s="3"/>
      <x:c r="O11" s="3"/>
      <x:c r="P11" s="3"/>
      <x:c r="Q11" s="3"/>
      <x:c r="R11" s="3"/>
    </x:row>
    <x:row r="12" ht="37" customHeight="1">
      <x:c r="A12" s="66" t="str">
        <x:v>Selected phase</x:v>
      </x:c>
      <x:c r="B12" s="66" t="str">
        <x:v>Process / family</x:v>
      </x:c>
      <x:c r="C12" s="66" t="str">
        <x:v>As-of timestamp</x:v>
      </x:c>
      <x:c r="D12" s="66" t="str">
        <x:v>Scope caution</x:v>
      </x:c>
      <x:c r="E12" s="3"/>
      <x:c r="F12" s="3"/>
      <x:c r="G12" s="3"/>
      <x:c r="H12" s="3"/>
      <x:c r="I12" s="3"/>
      <x:c r="J12" s="3"/>
      <x:c r="K12" s="3"/>
      <x:c r="L12" s="3"/>
      <x:c r="M12" s="3"/>
      <x:c r="N12" s="3"/>
      <x:c r="O12" s="3"/>
      <x:c r="P12" s="3"/>
      <x:c r="Q12" s="3"/>
      <x:c r="R12" s="3"/>
    </x:row>
    <x:row r="13" ht="37" customHeight="1">
      <x:c r="A13" s="66" t="n">
        <x:f>'01 Setup'!B10</x:f>
        <x:v>0</x:v>
      </x:c>
      <x:c r="B13" s="66" t="n">
        <x:f>'01 Setup'!B9</x:f>
        <x:v>0</x:v>
      </x:c>
      <x:c r="C13" s="182" t="n">
        <x:f>'01 Setup'!B31</x:f>
        <x:v>0</x:v>
      </x:c>
      <x:c r="D13" s="66" t="str">
        <x:f>IF('01 Setup'!B10="","Select a phase before interpreting results","Eligible, valid, delivered cases in selected phase only")</x:f>
        <x:v>Select a phase before interpreting results</x:v>
      </x:c>
      <x:c r="E13" s="3"/>
      <x:c r="F13" s="3"/>
      <x:c r="G13" s="3"/>
      <x:c r="H13" s="3"/>
      <x:c r="I13" s="3"/>
      <x:c r="J13" s="3"/>
      <x:c r="K13" s="3"/>
      <x:c r="L13" s="3"/>
      <x:c r="M13" s="3"/>
      <x:c r="N13" s="3"/>
      <x:c r="O13" s="3"/>
      <x:c r="P13" s="3"/>
      <x:c r="Q13" s="3"/>
      <x:c r="R13" s="3"/>
    </x:row>
    <x:row r="14" ht="20" customHeight="1">
      <x:c r="A14" s="3"/>
      <x:c r="B14" s="3"/>
      <x:c r="C14" s="3"/>
      <x:c r="D14" s="3"/>
      <x:c r="E14" s="3"/>
      <x:c r="F14" s="3"/>
      <x:c r="G14" s="3"/>
      <x:c r="H14" s="3"/>
      <x:c r="I14" s="3"/>
      <x:c r="J14" s="3"/>
      <x:c r="K14" s="3"/>
      <x:c r="L14" s="3"/>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43" customHeight="1">
      <x:c r="A16" s="129" t="str">
        <x:v>Valid delivered cases</x:v>
      </x:c>
      <x:c r="B16" s="83" t="str">
        <x:f>IF('01 Setup'!B10="","",SUM('D04 Case Data'!M10:M99))</x:f>
      </x:c>
      <x:c r="C16" s="83" t="str">
        <x:v>Eligible + valid + delivered. Does not count open requests.</x:v>
      </x:c>
      <x:c r="D16" s="3"/>
      <x:c r="E16" s="3" t="str">
        <x:v>Selected phase result</x:v>
      </x:c>
      <x:c r="F16" s="3" t="str">
        <x:v>Proportion</x:v>
      </x:c>
      <x:c r="G16" s="3"/>
      <x:c r="H16" s="3"/>
      <x:c r="I16" s="3"/>
      <x:c r="J16" s="3"/>
      <x:c r="K16" s="3"/>
      <x:c r="L16" s="3"/>
      <x:c r="M16" s="3"/>
      <x:c r="N16" s="3"/>
      <x:c r="O16" s="3"/>
      <x:c r="P16" s="3"/>
      <x:c r="Q16" s="3"/>
      <x:c r="R16" s="3"/>
    </x:row>
    <x:row r="17" ht="43" customHeight="1">
      <x:c r="A17" s="129" t="str">
        <x:v>Median elapsed hours</x:v>
      </x:c>
      <x:c r="B17" s="184" t="str">
        <x:f>IF(SUM('D04 Case Data'!M10:M99)=0,"",MEDIAN('D04 Case Data'!L10:L99))</x:f>
      </x:c>
      <x:c r="C17" s="83" t="str">
        <x:v>Same receipt-to-delivery boundary, measured in calendar hours.</x:v>
      </x:c>
      <x:c r="D17" s="3"/>
      <x:c r="E17" s="3" t="str">
        <x:v>Within local time aim</x:v>
      </x:c>
      <x:c r="F17" s="132" t="str">
        <x:f>B19</x:f>
      </x:c>
      <x:c r="G17" s="3"/>
      <x:c r="H17" s="3"/>
      <x:c r="I17" s="3"/>
      <x:c r="J17" s="3"/>
      <x:c r="K17" s="3"/>
      <x:c r="L17" s="3"/>
      <x:c r="M17" s="3"/>
      <x:c r="N17" s="3"/>
      <x:c r="O17" s="3"/>
      <x:c r="P17" s="3"/>
      <x:c r="Q17" s="3"/>
      <x:c r="R17" s="3"/>
    </x:row>
    <x:row r="18" ht="43" customHeight="1">
      <x:c r="A18" s="129" t="str">
        <x:v>Within local time aim n</x:v>
      </x:c>
      <x:c r="B18" s="83" t="str">
        <x:f>IF(OR('01 Setup'!B10="",NOT(ISNUMBER('01 Setup'!B11)),'01 Setup'!B11&lt;=0),"",COUNTIFS('D04 Case Data'!B10:B99,'01 Setup'!B10,'D04 Case Data'!G10:G99,"Yes",'D04 Case Data'!K10:K99,"Valid",'D04 Case Data'!J10:J99,"Yes"))</x:f>
      </x:c>
      <x:c r="C18" s="83" t="str">
        <x:v>Time aim is editable in Setup; not an external benchmark.</x:v>
      </x:c>
      <x:c r="D18" s="3"/>
      <x:c r="E18" s="3" t="str">
        <x:v>First-pass correct</x:v>
      </x:c>
      <x:c r="F18" s="132" t="str">
        <x:f>B21</x:f>
      </x:c>
      <x:c r="G18" s="3"/>
      <x:c r="H18" s="3"/>
      <x:c r="I18" s="3"/>
      <x:c r="J18" s="3"/>
      <x:c r="K18" s="3"/>
      <x:c r="L18" s="3"/>
      <x:c r="M18" s="3"/>
      <x:c r="N18" s="3"/>
      <x:c r="O18" s="3"/>
      <x:c r="P18" s="3"/>
      <x:c r="Q18" s="3"/>
      <x:c r="R18" s="3"/>
    </x:row>
    <x:row r="19" ht="43" customHeight="1">
      <x:c r="A19" s="129" t="str">
        <x:v>Within local time aim %</x:v>
      </x:c>
      <x:c r="B19" s="90" t="str">
        <x:f>IF(OR(B16=0,NOT(ISNUMBER(B18))),"",B18/B16)</x:f>
      </x:c>
      <x:c r="C19" s="83" t="str">
        <x:v>Valid delivered denominator only.</x:v>
      </x:c>
      <x:c r="D19" s="3"/>
      <x:c r="E19" s="3" t="str">
        <x:v>Not an overall score</x:v>
      </x:c>
      <x:c r="F19" s="3" t="str"/>
      <x:c r="G19" s="3"/>
      <x:c r="H19" s="3"/>
      <x:c r="I19" s="3"/>
      <x:c r="J19" s="3"/>
      <x:c r="K19" s="3"/>
      <x:c r="L19" s="3"/>
      <x:c r="M19" s="3"/>
      <x:c r="N19" s="3"/>
      <x:c r="O19" s="3"/>
      <x:c r="P19" s="3"/>
      <x:c r="Q19" s="3"/>
      <x:c r="R19" s="3"/>
    </x:row>
    <x:row r="20" ht="43" customHeight="1">
      <x:c r="A20" s="129" t="str">
        <x:v>First-pass correct n</x:v>
      </x:c>
      <x:c r="B20" s="83" t="str">
        <x:f>IF('01 Setup'!B10="","",COUNTIFS('D04 Case Data'!B10:B99,'01 Setup'!B10,'D04 Case Data'!G10:G99,"Yes",'D04 Case Data'!K10:K99,"Valid",'D04 Case Data'!E10:E99,"Yes"))</x:f>
      </x:c>
      <x:c r="C20" s="83" t="str">
        <x:v>No correction or rework under the agreed definition.</x:v>
      </x:c>
      <x:c r="D20" s="3"/>
      <x:c r="E20" s="3"/>
      <x:c r="F20" s="3"/>
      <x:c r="G20" s="3"/>
      <x:c r="H20" s="3"/>
      <x:c r="I20" s="3"/>
      <x:c r="J20" s="3"/>
      <x:c r="K20" s="3"/>
      <x:c r="L20" s="3"/>
      <x:c r="M20" s="3"/>
      <x:c r="N20" s="3"/>
      <x:c r="O20" s="3"/>
      <x:c r="P20" s="3"/>
      <x:c r="Q20" s="3"/>
      <x:c r="R20" s="3"/>
    </x:row>
    <x:row r="21" ht="43" customHeight="1">
      <x:c r="A21" s="129" t="str">
        <x:v>First-pass correct %</x:v>
      </x:c>
      <x:c r="B21" s="90" t="str">
        <x:f>IF(B16=0,"",B20/B16)</x:f>
      </x:c>
      <x:c r="C21" s="83" t="str">
        <x:v>Not a measure of user satisfaction.</x:v>
      </x:c>
      <x:c r="D21" s="3"/>
      <x:c r="E21" s="3"/>
      <x:c r="F21" s="3"/>
      <x:c r="G21" s="3"/>
      <x:c r="H21" s="3"/>
      <x:c r="I21" s="3"/>
      <x:c r="J21" s="3"/>
      <x:c r="K21" s="3"/>
      <x:c r="L21" s="3"/>
      <x:c r="M21" s="3"/>
      <x:c r="N21" s="3"/>
      <x:c r="O21" s="3"/>
      <x:c r="P21" s="3"/>
      <x:c r="Q21" s="3"/>
      <x:c r="R21" s="3"/>
    </x:row>
    <x:row r="22" ht="43" customHeight="1">
      <x:c r="A22" s="129" t="str">
        <x:v>Open requests, selected phase</x:v>
      </x:c>
      <x:c r="B22" s="83" t="str">
        <x:f>IF('01 Setup'!B10="","",COUNTIFS('D04 Case Data'!B10:B99,'01 Setup'!B10,'D04 Case Data'!G10:G99,"Yes",'D04 Case Data'!K10:K99,"Open"))</x:f>
      </x:c>
      <x:c r="C22" s="83" t="str">
        <x:v>Do not hide open work by reporting completed cases alone.</x:v>
      </x:c>
      <x:c r="D22" s="3"/>
      <x:c r="E22" s="3"/>
      <x:c r="F22" s="3"/>
      <x:c r="G22" s="3"/>
      <x:c r="H22" s="3"/>
      <x:c r="I22" s="3"/>
      <x:c r="J22" s="3"/>
      <x:c r="K22" s="3"/>
      <x:c r="L22" s="3"/>
      <x:c r="M22" s="3"/>
      <x:c r="N22" s="3"/>
      <x:c r="O22" s="3"/>
      <x:c r="P22" s="3"/>
      <x:c r="Q22" s="3"/>
      <x:c r="R22" s="3"/>
    </x:row>
    <x:row r="23" ht="43" customHeight="1">
      <x:c r="A23" s="129" t="str">
        <x:v>Data rows needing review</x:v>
      </x:c>
      <x:c r="B23" s="83" t="n">
        <x:f>SUMPRODUCT(('D04 Case Data'!K10:K99&lt;&gt;"")*('D04 Case Data'!K10:K99&lt;&gt;"Valid")*('D04 Case Data'!K10:K99&lt;&gt;"Open"))</x:f>
        <x:v>0</x:v>
      </x:c>
      <x:c r="C23" s="83" t="str">
        <x:v>All recorded phases; fix data before interpreting.</x:v>
      </x:c>
      <x:c r="D23" s="3"/>
      <x:c r="E23" s="3"/>
      <x:c r="F23" s="3"/>
      <x:c r="G23" s="3"/>
      <x:c r="H23" s="3"/>
      <x:c r="I23" s="3"/>
      <x:c r="J23" s="3"/>
      <x:c r="K23" s="3"/>
      <x:c r="L23" s="3"/>
      <x:c r="M23" s="3"/>
      <x:c r="N23" s="3"/>
      <x:c r="O23" s="3"/>
      <x:c r="P23" s="3"/>
      <x:c r="Q23" s="3"/>
      <x:c r="R23" s="3"/>
    </x:row>
    <x:row r="24" ht="43" customHeight="1">
      <x:c r="A24" s="129" t="str">
        <x:v>Recorded stop events, all phases</x:v>
      </x:c>
      <x:c r="B24" s="83" t="n">
        <x:f>COUNTIF('D04 Case Data'!H10:H99,"Yes")</x:f>
        <x:v>0</x:v>
      </x:c>
      <x:c r="C24" s="83" t="str">
        <x:v>Any serious event follows the proper stop/escalation route.</x:v>
      </x:c>
      <x:c r="D24" s="3"/>
      <x:c r="E24" s="3"/>
      <x:c r="F24" s="3"/>
      <x:c r="G24" s="3"/>
      <x:c r="H24" s="3"/>
      <x:c r="I24" s="3"/>
      <x:c r="J24" s="3"/>
      <x:c r="K24" s="3"/>
      <x:c r="L24" s="3"/>
      <x:c r="M24" s="3"/>
      <x:c r="N24" s="3"/>
      <x:c r="O24" s="3"/>
      <x:c r="P24" s="3"/>
      <x:c r="Q24" s="3"/>
      <x:c r="R24" s="3"/>
    </x:row>
    <x:row r="25" ht="43" customHeight="1">
      <x:c r="A25" s="129" t="str">
        <x:v>Overdue huddle actions</x:v>
      </x:c>
      <x:c r="B25" s="83" t="n">
        <x:f>COUNTIF('D06 Huddle'!H10:H69,"Overdue")</x:f>
        <x:v>0</x:v>
      </x:c>
      <x:c r="C25" s="83" t="str">
        <x:v>Uses your as-of timestamp; blank setup is not a clean bill of health.</x:v>
      </x:c>
      <x:c r="D25" s="3"/>
      <x:c r="E25" s="3"/>
      <x:c r="F25" s="3"/>
      <x:c r="G25" s="3"/>
      <x:c r="H25" s="3"/>
      <x:c r="I25" s="3"/>
      <x:c r="J25" s="3"/>
      <x:c r="K25" s="3"/>
      <x:c r="L25" s="3"/>
      <x:c r="M25" s="3"/>
      <x:c r="N25" s="3"/>
      <x:c r="O25" s="3"/>
      <x:c r="P25" s="3"/>
      <x:c r="Q25" s="3"/>
      <x:c r="R25" s="3"/>
    </x:row>
    <x:row r="26" ht="43" customHeight="1">
      <x:c r="A26" s="129" t="str">
        <x:v>Open evidence decision</x:v>
      </x:c>
      <x:c r="B26" s="83" t="str">
        <x:f>IF(B24&gt;0,"STOP / REVIEW",IF(B23&gt;0,"CHECK DATA",IF(B16="","SET UP",IF(B16=0,"NO VALID RESULTS","REVIEW WITH BALANCING EVIDENCE"))))</x:f>
        <x:v>SET UP</x:v>
      </x:c>
      <x:c r="C26" s="83" t="str">
        <x:v>Not an automated adopt/implement decision.</x:v>
      </x:c>
      <x:c r="D26" s="3"/>
      <x:c r="E26" s="3"/>
      <x:c r="F26" s="3"/>
      <x:c r="G26" s="3"/>
      <x:c r="H26" s="3"/>
      <x:c r="I26" s="3"/>
      <x:c r="J26" s="3"/>
      <x:c r="K26" s="3"/>
      <x:c r="L26" s="3"/>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3"/>
      <x:c r="B28" s="3"/>
      <x:c r="C28" s="3"/>
      <x:c r="D28" s="3"/>
      <x:c r="E28" s="3"/>
      <x:c r="F28" s="3"/>
      <x:c r="G28" s="3"/>
      <x:c r="H28" s="3"/>
      <x:c r="I28" s="3"/>
      <x:c r="J28" s="3"/>
      <x:c r="K28" s="3"/>
      <x:c r="L28" s="3"/>
      <x:c r="M28" s="3"/>
      <x:c r="N28" s="3"/>
      <x:c r="O28" s="3"/>
      <x:c r="P28" s="3"/>
      <x:c r="Q28" s="3"/>
      <x:c r="R28" s="3"/>
    </x:row>
    <x:row r="29" ht="20" customHeight="1">
      <x:c r="A29" s="3"/>
      <x:c r="B29" s="3"/>
      <x:c r="C29" s="3"/>
      <x:c r="D29" s="3"/>
      <x:c r="E29" s="3"/>
      <x:c r="F29" s="3"/>
      <x:c r="G29" s="3"/>
      <x:c r="H29" s="3"/>
      <x:c r="I29" s="3"/>
      <x:c r="J29" s="3"/>
      <x:c r="K29" s="3"/>
      <x:c r="L29" s="3"/>
      <x:c r="M29" s="3"/>
      <x:c r="N29" s="3"/>
      <x:c r="O29" s="3"/>
      <x:c r="P29" s="3"/>
      <x:c r="Q29" s="3"/>
      <x:c r="R29" s="3"/>
    </x:row>
    <x:row r="30" ht="20" customHeight="1">
      <x:c r="A30" s="3"/>
      <x:c r="B30" s="3"/>
      <x:c r="C30" s="3"/>
      <x:c r="D30" s="3"/>
      <x:c r="E30" s="3"/>
      <x:c r="F30" s="3"/>
      <x:c r="G30" s="3"/>
      <x:c r="H30" s="3"/>
      <x:c r="I30" s="3"/>
      <x:c r="J30" s="3"/>
      <x:c r="K30" s="3"/>
      <x:c r="L30" s="3"/>
      <x:c r="M30" s="3"/>
      <x:c r="N30" s="3"/>
      <x:c r="O30" s="3"/>
      <x:c r="P30" s="3"/>
      <x:c r="Q30" s="3"/>
      <x:c r="R30" s="3"/>
    </x:row>
    <x:row r="31" ht="20" customHeight="1">
      <x:c r="A31" s="3"/>
      <x:c r="B31" s="3"/>
      <x:c r="C31" s="3"/>
      <x:c r="D31" s="3"/>
      <x:c r="E31" s="3"/>
      <x:c r="F31" s="3"/>
      <x:c r="G31" s="3"/>
      <x:c r="H31" s="3"/>
      <x:c r="I31" s="3"/>
      <x:c r="J31" s="3"/>
      <x:c r="K31" s="3"/>
      <x:c r="L31" s="3"/>
      <x:c r="M31" s="3"/>
      <x:c r="N31" s="3"/>
      <x:c r="O31" s="3"/>
      <x:c r="P31" s="3"/>
      <x:c r="Q31" s="3"/>
      <x:c r="R31" s="3"/>
    </x:row>
    <x:row r="32" ht="20" customHeight="1">
      <x:c r="A32" s="3"/>
      <x:c r="B32" s="3"/>
      <x:c r="C32" s="3"/>
      <x:c r="D32" s="3"/>
      <x:c r="E32" s="3"/>
      <x:c r="F32" s="3"/>
      <x:c r="G32" s="3"/>
      <x:c r="H32" s="3"/>
      <x:c r="I32" s="3"/>
      <x:c r="J32" s="3"/>
      <x:c r="K32" s="3"/>
      <x:c r="L32" s="3"/>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3"/>
      <x:c r="B34" s="3"/>
      <x:c r="C34" s="3"/>
      <x:c r="D34" s="3"/>
      <x:c r="E34" s="3"/>
      <x:c r="F34" s="3"/>
      <x:c r="G34" s="3"/>
      <x:c r="H34" s="3"/>
      <x:c r="I34" s="3"/>
      <x:c r="J34" s="3"/>
      <x:c r="K34" s="3"/>
      <x:c r="L34" s="3"/>
      <x:c r="M34" s="3"/>
      <x:c r="N34" s="3"/>
      <x:c r="O34" s="3"/>
      <x:c r="P34" s="3"/>
      <x:c r="Q34" s="3"/>
      <x:c r="R34" s="3"/>
    </x:row>
    <x:row r="35" ht="20" customHeight="1">
      <x:c r="A35" s="3"/>
      <x:c r="B35" s="3"/>
      <x:c r="C35" s="3"/>
      <x:c r="D35" s="3"/>
      <x:c r="E35" s="3"/>
      <x:c r="F35" s="3"/>
      <x:c r="G35" s="3"/>
      <x:c r="H35" s="3"/>
      <x:c r="I35" s="3"/>
      <x:c r="J35" s="3"/>
      <x:c r="K35" s="3"/>
      <x:c r="L35" s="3"/>
      <x:c r="M35" s="3"/>
      <x:c r="N35" s="3"/>
      <x:c r="O35" s="3"/>
      <x:c r="P35" s="3"/>
      <x:c r="Q35" s="3"/>
      <x:c r="R35" s="3"/>
    </x:row>
    <x:row r="36" ht="20" customHeight="1">
      <x:c r="A36" s="3"/>
      <x:c r="B36" s="3"/>
      <x:c r="C36" s="3"/>
      <x:c r="D36" s="3"/>
      <x:c r="E36" s="3"/>
      <x:c r="F36" s="3"/>
      <x:c r="G36" s="3"/>
      <x:c r="H36" s="3"/>
      <x:c r="I36" s="3"/>
      <x:c r="J36" s="3"/>
      <x:c r="K36" s="3"/>
      <x:c r="L36" s="3"/>
      <x:c r="M36" s="3"/>
      <x:c r="N36" s="3"/>
      <x:c r="O36" s="3"/>
      <x:c r="P36" s="3"/>
      <x:c r="Q36" s="3"/>
      <x:c r="R36" s="3"/>
    </x:row>
    <x:row r="37" ht="20" customHeight="1">
      <x:c r="A37" s="3"/>
      <x:c r="B37" s="3"/>
      <x:c r="C37" s="3"/>
      <x:c r="D37" s="3"/>
      <x:c r="E37" s="3"/>
      <x:c r="F37" s="3"/>
      <x:c r="G37" s="3"/>
      <x:c r="H37" s="3"/>
      <x:c r="I37" s="3"/>
      <x:c r="J37" s="3"/>
      <x:c r="K37" s="3"/>
      <x:c r="L37" s="3"/>
      <x:c r="M37" s="3"/>
      <x:c r="N37" s="3"/>
      <x:c r="O37" s="3"/>
      <x:c r="P37" s="3"/>
      <x:c r="Q37" s="3"/>
      <x:c r="R37" s="3"/>
    </x:row>
    <x:row r="38" ht="20" customHeight="1">
      <x:c r="A38" s="3"/>
      <x:c r="B38" s="3"/>
      <x:c r="C38" s="3"/>
      <x:c r="D38" s="3"/>
      <x:c r="E38" s="3"/>
      <x:c r="F38" s="3"/>
      <x:c r="G38" s="3"/>
      <x:c r="H38" s="3"/>
      <x:c r="I38" s="3"/>
      <x:c r="J38" s="3"/>
      <x:c r="K38" s="3"/>
      <x:c r="L38" s="3"/>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20" customHeight="1">
      <x:c r="A42" s="3"/>
      <x:c r="B42" s="3"/>
      <x:c r="C42" s="3"/>
      <x:c r="D42" s="3"/>
      <x:c r="E42" s="3"/>
      <x:c r="F42" s="3"/>
      <x:c r="G42" s="3"/>
      <x:c r="H42" s="3"/>
      <x:c r="I42" s="3"/>
      <x:c r="J42" s="3"/>
      <x:c r="K42" s="3"/>
      <x:c r="L42" s="3"/>
      <x:c r="M42" s="3"/>
      <x:c r="N42" s="3"/>
      <x:c r="O42" s="3"/>
      <x:c r="P42" s="3"/>
      <x:c r="Q42" s="3"/>
      <x:c r="R42" s="3"/>
    </x:row>
    <x:row r="43" ht="20" customHeight="1">
      <x:c r="A43" s="3"/>
      <x:c r="B43" s="3"/>
      <x:c r="C43" s="3"/>
      <x:c r="D43" s="3"/>
      <x:c r="E43" s="3"/>
      <x:c r="F43" s="3"/>
      <x:c r="G43" s="3"/>
      <x:c r="H43" s="3"/>
      <x:c r="I43" s="3"/>
      <x:c r="J43" s="3"/>
      <x:c r="K43" s="3"/>
      <x:c r="L43" s="3"/>
      <x:c r="M43" s="3"/>
      <x:c r="N43" s="3"/>
      <x:c r="O43" s="3"/>
      <x:c r="P43" s="3"/>
      <x:c r="Q43" s="3"/>
      <x:c r="R43" s="3"/>
    </x:row>
    <x:row r="44" ht="20" customHeight="1">
      <x:c r="A44" s="3"/>
      <x:c r="B44" s="3"/>
      <x:c r="C44" s="3"/>
      <x:c r="D44" s="3"/>
      <x:c r="E44" s="3"/>
      <x:c r="F44" s="3"/>
      <x:c r="G44" s="3"/>
      <x:c r="H44" s="3"/>
      <x:c r="I44" s="3"/>
      <x:c r="J44" s="3"/>
      <x:c r="K44" s="3"/>
      <x:c r="L44" s="3"/>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3"/>
      <x:c r="B47" s="3"/>
      <x:c r="C47" s="3"/>
      <x:c r="D47" s="3"/>
      <x:c r="E47" s="3"/>
      <x:c r="F47" s="3"/>
      <x:c r="G47" s="3"/>
      <x:c r="H47" s="3"/>
      <x:c r="I47" s="3"/>
      <x:c r="J47" s="3"/>
      <x:c r="K47" s="3"/>
      <x:c r="L47" s="3"/>
      <x:c r="M47" s="3"/>
      <x:c r="N47" s="3"/>
      <x:c r="O47" s="3"/>
      <x:c r="P47" s="3"/>
      <x:c r="Q47" s="3"/>
      <x:c r="R47" s="3"/>
    </x:row>
    <x:row r="48" ht="20" customHeight="1">
      <x:c r="A48" s="3"/>
      <x:c r="B48" s="3"/>
      <x:c r="C48" s="3"/>
      <x:c r="D48" s="3"/>
      <x:c r="E48" s="3"/>
      <x:c r="F48" s="3"/>
      <x:c r="G48" s="3"/>
      <x:c r="H48" s="3"/>
      <x:c r="I48" s="3"/>
      <x:c r="J48" s="3"/>
      <x:c r="K48" s="3"/>
      <x:c r="L48" s="3"/>
      <x:c r="M48" s="3"/>
      <x:c r="N48" s="3"/>
      <x:c r="O48" s="3"/>
      <x:c r="P48" s="3"/>
      <x:c r="Q48" s="3"/>
      <x:c r="R48" s="3"/>
    </x:row>
    <x:row r="49" ht="20" customHeight="1">
      <x:c r="A49" s="34" t="str">
        <x:v>INTERPRET TOGETHER | Examine chronological data, open-case age, user access, staff burden, exceptions and safety. A favourable rate from a small test is evidence for the next decision, not proof of causality or permission to scale.</x:v>
      </x:c>
      <x:c r="B49" s="34"/>
      <x:c r="C49" s="34"/>
      <x:c r="D49" s="34"/>
      <x:c r="E49" s="3"/>
      <x:c r="F49" s="3"/>
      <x:c r="G49" s="3"/>
      <x:c r="H49" s="3"/>
      <x:c r="I49" s="3"/>
      <x:c r="J49" s="3"/>
      <x:c r="K49" s="3"/>
      <x:c r="L49" s="3"/>
      <x:c r="M49" s="3"/>
      <x:c r="N49" s="3"/>
      <x:c r="O49" s="3"/>
      <x:c r="P49" s="3"/>
      <x:c r="Q49" s="3"/>
      <x:c r="R49" s="3"/>
    </x:row>
    <x:row r="50" ht="20" customHeight="1">
      <x:c r="A50" s="34"/>
      <x:c r="B50" s="34"/>
      <x:c r="C50" s="34"/>
      <x:c r="D50" s="34"/>
      <x:c r="E50" s="3"/>
      <x:c r="F50" s="3"/>
      <x:c r="G50" s="3"/>
      <x:c r="H50" s="3"/>
      <x:c r="I50" s="3"/>
      <x:c r="J50" s="3"/>
      <x:c r="K50" s="3"/>
      <x:c r="L50" s="3"/>
      <x:c r="M50" s="3"/>
      <x:c r="N50" s="3"/>
      <x:c r="O50" s="3"/>
      <x:c r="P50" s="3"/>
      <x:c r="Q50" s="3"/>
      <x:c r="R50" s="3"/>
    </x:row>
    <x:row r="51" ht="20" customHeight="1">
      <x:c r="A51" s="34"/>
      <x:c r="B51" s="34"/>
      <x:c r="C51" s="34"/>
      <x:c r="D51" s="34"/>
      <x:c r="E51" s="3"/>
      <x:c r="F51" s="3"/>
      <x:c r="G51" s="3"/>
      <x:c r="H51" s="3"/>
      <x:c r="I51" s="3"/>
      <x:c r="J51" s="3"/>
      <x:c r="K51" s="3"/>
      <x:c r="L51" s="3"/>
      <x:c r="M51" s="3"/>
      <x:c r="N51" s="3"/>
      <x:c r="O51" s="3"/>
      <x:c r="P51" s="3"/>
      <x:c r="Q51" s="3"/>
      <x:c r="R51" s="3"/>
    </x:row>
    <x:row r="52" ht="20" customHeight="1">
      <x:c r="A52" s="34"/>
      <x:c r="B52" s="34"/>
      <x:c r="C52" s="34"/>
      <x:c r="D52" s="34"/>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136" t="str">
        <x:v>CAPACITY LIMITS | D04 supports 90 case rows (10-99). Extending it requires extending dependent formulas and chart ranges. The worksheet preserves case order; it does not automatically establish study phases or select a valid comparison design.</x:v>
      </x:c>
      <x:c r="B54" s="136"/>
      <x:c r="C54" s="136"/>
      <x:c r="D54" s="136"/>
      <x:c r="E54" s="3"/>
      <x:c r="F54" s="3"/>
      <x:c r="G54" s="3"/>
      <x:c r="H54" s="3"/>
      <x:c r="I54" s="3"/>
      <x:c r="J54" s="3"/>
      <x:c r="K54" s="3"/>
      <x:c r="L54" s="3"/>
      <x:c r="M54" s="3"/>
      <x:c r="N54" s="3"/>
      <x:c r="O54" s="3"/>
      <x:c r="P54" s="3"/>
      <x:c r="Q54" s="3"/>
      <x:c r="R54" s="3"/>
    </x:row>
    <x:row r="55" ht="20" customHeight="1">
      <x:c r="A55" s="136"/>
      <x:c r="B55" s="136"/>
      <x:c r="C55" s="136"/>
      <x:c r="D55" s="136"/>
      <x:c r="E55" s="3"/>
      <x:c r="F55" s="3"/>
      <x:c r="G55" s="3"/>
      <x:c r="H55" s="3"/>
      <x:c r="I55" s="3"/>
      <x:c r="J55" s="3"/>
      <x:c r="K55" s="3"/>
      <x:c r="L55" s="3"/>
      <x:c r="M55" s="3"/>
      <x:c r="N55" s="3"/>
      <x:c r="O55" s="3"/>
      <x:c r="P55" s="3"/>
      <x:c r="Q55" s="3"/>
      <x:c r="R55" s="3"/>
    </x:row>
    <x:row r="56" ht="20" customHeight="1">
      <x:c r="A56" s="136"/>
      <x:c r="B56" s="136"/>
      <x:c r="C56" s="136"/>
      <x:c r="D56" s="136"/>
      <x:c r="E56" s="3"/>
      <x:c r="F56" s="3"/>
      <x:c r="G56" s="3"/>
      <x:c r="H56" s="3"/>
      <x:c r="I56" s="3"/>
      <x:c r="J56" s="3"/>
      <x:c r="K56" s="3"/>
      <x:c r="L56" s="3"/>
      <x:c r="M56" s="3"/>
      <x:c r="N56" s="3"/>
      <x:c r="O56" s="3"/>
      <x:c r="P56" s="3"/>
      <x:c r="Q56" s="3"/>
      <x:c r="R56" s="3"/>
    </x:row>
    <x:row r="57" ht="20" customHeight="1">
      <x:c r="A57" s="136"/>
      <x:c r="B57" s="136"/>
      <x:c r="C57" s="136"/>
      <x:c r="D57" s="136"/>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8:L10"/>
    <x:mergeCell ref="A49:D52"/>
    <x:mergeCell ref="A54:D57"/>
  </x:mergeCells>
  <x:pageMargins left="0.7" right="0.7" top="0.75" bottom="0.75" header="0.3" footer="0.3"/>
  <x:drawing xmlns:r="http://schemas.openxmlformats.org/officeDocument/2006/relationships" r:id="Rd10971bb2af44b07"/>
</x:worksheet>
</file>

<file path=xl/worksheets/sheet5.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25" hidden="0" customWidth="1"/>
    <x:col min="2" max="2" width="95" hidden="0" customWidth="1"/>
    <x:col min="3" max="3" width="26"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HR DELIVERY | 04 Calculation Notes</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Process Improvement Framework &amp; Toolkit - companion working records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0" customHeight="1">
      <x:c r="A9" s="3"/>
      <x:c r="B9" s="3"/>
      <x:c r="C9" s="3"/>
      <x:c r="D9" s="3"/>
      <x:c r="E9" s="3"/>
      <x:c r="F9" s="3"/>
      <x:c r="G9" s="3"/>
      <x:c r="H9" s="3"/>
      <x:c r="I9" s="3"/>
      <x:c r="J9" s="3"/>
      <x:c r="K9" s="3"/>
      <x:c r="L9" s="3"/>
      <x:c r="M9" s="3"/>
      <x:c r="N9" s="3"/>
      <x:c r="O9" s="3"/>
      <x:c r="P9" s="3"/>
      <x:c r="Q9" s="3"/>
      <x:c r="R9" s="3"/>
    </x:row>
    <x:row r="10" ht="38" customHeight="1">
      <x:c r="A10" s="77" t="str">
        <x:v>ENGINE / SUBJECT</x:v>
      </x:c>
      <x:c r="B10" s="77" t="str">
        <x:v>METHOD, ASSUMPTIONS AND LIMITATIONS</x:v>
      </x:c>
      <x:c r="C10" s="77" t="str">
        <x:v>SOURCE / TOOL</x:v>
      </x:c>
      <x:c r="D10" s="3"/>
      <x:c r="E10" s="3"/>
      <x:c r="F10" s="3"/>
      <x:c r="G10" s="3"/>
      <x:c r="H10" s="3"/>
      <x:c r="I10" s="3"/>
      <x:c r="J10" s="3"/>
      <x:c r="K10" s="3"/>
      <x:c r="L10" s="3"/>
      <x:c r="M10" s="3"/>
      <x:c r="N10" s="3"/>
      <x:c r="O10" s="3"/>
      <x:c r="P10" s="3"/>
      <x:c r="Q10" s="3"/>
      <x:c r="R10" s="3"/>
    </x:row>
    <x:row r="11" ht="92" customHeight="1">
      <x:c r="A11" s="66" t="str">
        <x:v>Model boundary</x:v>
      </x:c>
      <x:c r="B11" s="66" t="str">
        <x:v>PDSA uses the NHS source's three fundamental questions plus Plan, Do, Study, Act. Lean countermeasures are tested through PDSA. Neither technique bypasses formal authorisation for sensitive work.</x:v>
      </x:c>
      <x:c r="C11" s="66" t="str">
        <x:v>U01; R01-R04; R37</x:v>
      </x:c>
      <x:c r="D11" s="3"/>
      <x:c r="E11" s="3"/>
      <x:c r="F11" s="3"/>
      <x:c r="G11" s="3"/>
      <x:c r="H11" s="3"/>
      <x:c r="I11" s="3"/>
      <x:c r="J11" s="3"/>
      <x:c r="K11" s="3"/>
      <x:c r="L11" s="3"/>
      <x:c r="M11" s="3"/>
      <x:c r="N11" s="3"/>
      <x:c r="O11" s="3"/>
      <x:c r="P11" s="3"/>
      <x:c r="Q11" s="3"/>
      <x:c r="R11" s="3"/>
    </x:row>
    <x:row r="12" ht="92" customHeight="1">
      <x:c r="A12" s="66" t="str">
        <x:v>Time conventions</x:v>
      </x:c>
      <x:c r="B12" s="66" t="str">
        <x:v>D04: (delivery-receipt) x 24 = elapsed calendar hours. D03: (finish-start) x 24 x 60 = active minutes. Do not mix elapsed and working-time denominators.</x:v>
      </x:c>
      <x:c r="C12" s="66" t="str">
        <x:v>Tool P06; D03; D04</x:v>
      </x:c>
      <x:c r="D12" s="3"/>
      <x:c r="E12" s="3"/>
      <x:c r="F12" s="3"/>
      <x:c r="G12" s="3"/>
      <x:c r="H12" s="3"/>
      <x:c r="I12" s="3"/>
      <x:c r="J12" s="3"/>
      <x:c r="K12" s="3"/>
      <x:c r="L12" s="3"/>
      <x:c r="M12" s="3"/>
      <x:c r="N12" s="3"/>
      <x:c r="O12" s="3"/>
      <x:c r="P12" s="3"/>
      <x:c r="Q12" s="3"/>
      <x:c r="R12" s="3"/>
    </x:row>
    <x:row r="13" ht="92" customHeight="1">
      <x:c r="A13" s="66" t="str">
        <x:v>Missing vs zero</x:v>
      </x:c>
      <x:c r="B13" s="66" t="str">
        <x:v>Zero can be genuine; blank is unknown. Formula engines leave outputs blank or request review when required inputs are missing. Paste can bypass validation: inspect the data-quality column.</x:v>
      </x:c>
      <x:c r="C13" s="66" t="str">
        <x:v>Local workbook controls</x:v>
      </x:c>
      <x:c r="D13" s="3"/>
      <x:c r="E13" s="3"/>
      <x:c r="F13" s="3"/>
      <x:c r="G13" s="3"/>
      <x:c r="H13" s="3"/>
      <x:c r="I13" s="3"/>
      <x:c r="J13" s="3"/>
      <x:c r="K13" s="3"/>
      <x:c r="L13" s="3"/>
      <x:c r="M13" s="3"/>
      <x:c r="N13" s="3"/>
      <x:c r="O13" s="3"/>
      <x:c r="P13" s="3"/>
      <x:c r="Q13" s="3"/>
      <x:c r="R13" s="3"/>
    </x:row>
    <x:row r="14" ht="92" customHeight="1">
      <x:c r="A14" s="66" t="str">
        <x:v>Rate comparison</x:v>
      </x:c>
      <x:c r="B14" s="66" t="str">
        <x:v>Before p=a/n, after q=b/m. Difference in percentage points = (q-p) x 100. Relative change=(q-p)/p, undefined when p=0. Counts require whole nonnegative values and positive denominators.</x:v>
      </x:c>
      <x:c r="C14" s="66" t="str">
        <x:v>R03; S02</x:v>
      </x:c>
      <x:c r="D14" s="3"/>
      <x:c r="E14" s="3"/>
      <x:c r="F14" s="3"/>
      <x:c r="G14" s="3"/>
      <x:c r="H14" s="3"/>
      <x:c r="I14" s="3"/>
      <x:c r="J14" s="3"/>
      <x:c r="K14" s="3"/>
      <x:c r="L14" s="3"/>
      <x:c r="M14" s="3"/>
      <x:c r="N14" s="3"/>
      <x:c r="O14" s="3"/>
      <x:c r="P14" s="3"/>
      <x:c r="Q14" s="3"/>
      <x:c r="R14" s="3"/>
    </x:row>
    <x:row r="15" ht="92" customHeight="1">
      <x:c r="A15" s="66" t="str">
        <x:v>Run chart scope</x:v>
      </x:c>
      <x:c r="B15" s="66" t="str">
        <x:v>First 20 values establish a fixed median. After at least 20 numeric values, the limited screen checks 8-point shifts and 6-point trends. Median ties are omitted for shift; identical consecutive trend values count once. Missing values break a sequence. No automated runs-table or astronomical-point test.</x:v>
      </x:c>
      <x:c r="C15" s="66" t="str">
        <x:v>R05; R41</x:v>
      </x:c>
      <x:c r="D15" s="3"/>
      <x:c r="E15" s="3"/>
      <x:c r="F15" s="3"/>
      <x:c r="G15" s="3"/>
      <x:c r="H15" s="3"/>
      <x:c r="I15" s="3"/>
      <x:c r="J15" s="3"/>
      <x:c r="K15" s="3"/>
      <x:c r="L15" s="3"/>
      <x:c r="M15" s="3"/>
      <x:c r="N15" s="3"/>
      <x:c r="O15" s="3"/>
      <x:c r="P15" s="3"/>
      <x:c r="Q15" s="3"/>
      <x:c r="R15" s="3"/>
    </x:row>
    <x:row r="16" ht="92" customHeight="1">
      <x:c r="A16" s="66" t="str">
        <x:v>I-MR scope</x:v>
      </x:c>
      <x:c r="B16" s="66" t="str">
        <x:v>First 20 individual values = fixed baseline. MR=|x(t)-x(t-1)|; MRbar mean of 19 differences. Sigma=MRbar/1.128. I limits=mean +/- 3 sigma. MR upper=3.267 MRbar; MR lower=0. Point-beyond-limit flags only. MRbar=0 or missing baseline suppresses limits.</x:v>
      </x:c>
      <x:c r="C16" s="66" t="str">
        <x:v>R06</x:v>
      </x:c>
      <x:c r="D16" s="3"/>
      <x:c r="E16" s="3"/>
      <x:c r="F16" s="3"/>
      <x:c r="G16" s="3"/>
      <x:c r="H16" s="3"/>
      <x:c r="I16" s="3"/>
      <x:c r="J16" s="3"/>
      <x:c r="K16" s="3"/>
      <x:c r="L16" s="3"/>
      <x:c r="M16" s="3"/>
      <x:c r="N16" s="3"/>
      <x:c r="O16" s="3"/>
      <x:c r="P16" s="3"/>
      <x:c r="Q16" s="3"/>
      <x:c r="R16" s="3"/>
    </x:row>
    <x:row r="17" ht="92" customHeight="1">
      <x:c r="A17" s="66" t="str">
        <x:v>p-chart scope</x:v>
      </x:c>
      <x:c r="B17" s="66" t="str">
        <x:v>First 20 valid subgroups = baseline. pbar=sum(d)/sum(n). Each subgroup limit=pbar +/- 3 sqrt[pbar(1-pbar)/n], truncated to 0-1. Suppress degenerate 0/1 baselines. Sparse expected counts or dependence need specialist review.</x:v>
      </x:c>
      <x:c r="C17" s="66" t="str">
        <x:v>R07</x:v>
      </x:c>
      <x:c r="D17" s="3"/>
      <x:c r="E17" s="3"/>
      <x:c r="F17" s="3"/>
      <x:c r="G17" s="3"/>
      <x:c r="H17" s="3"/>
      <x:c r="I17" s="3"/>
      <x:c r="J17" s="3"/>
      <x:c r="K17" s="3"/>
      <x:c r="L17" s="3"/>
      <x:c r="M17" s="3"/>
      <x:c r="N17" s="3"/>
      <x:c r="O17" s="3"/>
      <x:c r="P17" s="3"/>
      <x:c r="Q17" s="3"/>
      <x:c r="R17" s="3"/>
    </x:row>
    <x:row r="18" ht="92" customHeight="1">
      <x:c r="A18" s="66" t="str">
        <x:v>Pareto</x:v>
      </x:c>
      <x:c r="B18" s="66" t="str">
        <x:v>Counts sort descending, ties preserve original order. Cumulative share is based on one compatible count denominator. Review all invalid/incomplete input rows. A Pareto chart does not prove a cause or guarantee an 80/20 split.</x:v>
      </x:c>
      <x:c r="C18" s="66" t="str">
        <x:v>R08</x:v>
      </x:c>
      <x:c r="D18" s="3"/>
      <x:c r="E18" s="3"/>
      <x:c r="F18" s="3"/>
      <x:c r="G18" s="3"/>
      <x:c r="H18" s="3"/>
      <x:c r="I18" s="3"/>
      <x:c r="J18" s="3"/>
      <x:c r="K18" s="3"/>
      <x:c r="L18" s="3"/>
      <x:c r="M18" s="3"/>
      <x:c r="N18" s="3"/>
      <x:c r="O18" s="3"/>
      <x:c r="P18" s="3"/>
      <x:c r="Q18" s="3"/>
      <x:c r="R18" s="3"/>
    </x:row>
    <x:row r="19" ht="92" customHeight="1">
      <x:c r="A19" s="66" t="str">
        <x:v>Histogram</x:v>
      </x:c>
      <x:c r="B19" s="66" t="str">
        <x:v>Six configured bins: [lower,upper). The entered bins are illustrative hours, not benchmarks. Inspect underflow, overflow, gaps and overlaps; fix bin definitions before using the chart.</x:v>
      </x:c>
      <x:c r="C19" s="66" t="str">
        <x:v>R39</x:v>
      </x:c>
      <x:c r="D19" s="3"/>
      <x:c r="E19" s="3"/>
      <x:c r="F19" s="3"/>
      <x:c r="G19" s="3"/>
      <x:c r="H19" s="3"/>
      <x:c r="I19" s="3"/>
      <x:c r="J19" s="3"/>
      <x:c r="K19" s="3"/>
      <x:c r="L19" s="3"/>
      <x:c r="M19" s="3"/>
      <x:c r="N19" s="3"/>
      <x:c r="O19" s="3"/>
      <x:c r="P19" s="3"/>
      <x:c r="Q19" s="3"/>
      <x:c r="R19" s="3"/>
    </x:row>
    <x:row r="20" ht="92" customHeight="1">
      <x:c r="A20" s="66" t="str">
        <x:v>Scatter</x:v>
      </x:c>
      <x:c r="B20" s="66" t="str">
        <x:v>S08 prepares complete numeric X-Y pairs and Pearson correlation with at least 3 pairs and nonzero variation. A dynamic X-Y chart is not prebuilt: create an Excel scatter chart from the populated E:F pair columns. No p value, interval, causal claim, linearity or outlier validation is supplied.</x:v>
      </x:c>
      <x:c r="C20" s="66" t="str">
        <x:v>R39</x:v>
      </x:c>
      <x:c r="D20" s="3"/>
      <x:c r="E20" s="3"/>
      <x:c r="F20" s="3"/>
      <x:c r="G20" s="3"/>
      <x:c r="H20" s="3"/>
      <x:c r="I20" s="3"/>
      <x:c r="J20" s="3"/>
      <x:c r="K20" s="3"/>
      <x:c r="L20" s="3"/>
      <x:c r="M20" s="3"/>
      <x:c r="N20" s="3"/>
      <x:c r="O20" s="3"/>
      <x:c r="P20" s="3"/>
      <x:c r="Q20" s="3"/>
      <x:c r="R20" s="3"/>
    </x:row>
    <x:row r="21" ht="92" customHeight="1">
      <x:c r="A21" s="66" t="str">
        <x:v>Benefits and capacity</x:v>
      </x:c>
      <x:c r="B21" s="66" t="str">
        <x:v>Hours released=(before touch-after touch) x volume x months /60. Valued capacity=hours x assumed hourly value. Cash net requires confirmed cash input and same-period costs. No automated ROI, headcount reduction or avoided-cost assertion.</x:v>
      </x:c>
      <x:c r="C21" s="66" t="str">
        <x:v>Local planning scenario; S11/A06</x:v>
      </x:c>
      <x:c r="D21" s="3"/>
      <x:c r="E21" s="3"/>
      <x:c r="F21" s="3"/>
      <x:c r="G21" s="3"/>
      <x:c r="H21" s="3"/>
      <x:c r="I21" s="3"/>
      <x:c r="J21" s="3"/>
      <x:c r="K21" s="3"/>
      <x:c r="L21" s="3"/>
      <x:c r="M21" s="3"/>
      <x:c r="N21" s="3"/>
      <x:c r="O21" s="3"/>
      <x:c r="P21" s="3"/>
      <x:c r="Q21" s="3"/>
      <x:c r="R21" s="3"/>
    </x:row>
    <x:row r="22" ht="92" customHeight="1">
      <x:c r="A22" s="66" t="str">
        <x:v>Flow measures</x:v>
      </x:c>
      <x:c r="B22" s="66" t="str">
        <x:v>VA/elapsed and VA/touch answer different questions. Total touch may not fit into elapsed time if work is parallel; investigate rather than forcing a percentage.</x:v>
      </x:c>
      <x:c r="C22" s="66" t="str">
        <x:v>U02; M06</x:v>
      </x:c>
      <x:c r="D22" s="3"/>
      <x:c r="E22" s="3"/>
      <x:c r="F22" s="3"/>
      <x:c r="G22" s="3"/>
      <x:c r="H22" s="3"/>
      <x:c r="I22" s="3"/>
      <x:c r="J22" s="3"/>
      <x:c r="K22" s="3"/>
      <x:c r="L22" s="3"/>
      <x:c r="M22" s="3"/>
      <x:c r="N22" s="3"/>
      <x:c r="O22" s="3"/>
      <x:c r="P22" s="3"/>
      <x:c r="Q22" s="3"/>
      <x:c r="R22" s="3"/>
    </x:row>
    <x:row r="23" ht="92" customHeight="1">
      <x:c r="A23" s="66" t="str">
        <x:v>Little's Law</x:v>
      </x:c>
      <x:c r="B23" s="66" t="str">
        <x:v>Average WIP=average throughput x mean flow time, over compatible stable boundaries/horizons. Do not substitute a median, inventory snapshot or workstream-mismatched throughput.</x:v>
      </x:c>
      <x:c r="C23" s="66" t="str">
        <x:v>R34</x:v>
      </x:c>
      <x:c r="D23" s="3"/>
      <x:c r="E23" s="3"/>
      <x:c r="F23" s="3"/>
      <x:c r="G23" s="3"/>
      <x:c r="H23" s="3"/>
      <x:c r="I23" s="3"/>
      <x:c r="J23" s="3"/>
      <x:c r="K23" s="3"/>
      <x:c r="L23" s="3"/>
      <x:c r="M23" s="3"/>
      <x:c r="N23" s="3"/>
      <x:c r="O23" s="3"/>
      <x:c r="P23" s="3"/>
      <x:c r="Q23" s="3"/>
      <x:c r="R23" s="3"/>
    </x:row>
    <x:row r="24" ht="92" customHeight="1">
      <x:c r="A24" s="66" t="str">
        <x:v>Takt, pitch and replenishment</x:v>
      </x:c>
      <x:c r="B24" s="66" t="str">
        <x:v>Takt=net available time/demand; pitch=takt x transfer quantity. Containers=ceiling[demand x replenishment lead x (1+policy buffer)/container quantity]. Input the buffer explicitly; do not treat it as a universal standard.</x:v>
      </x:c>
      <x:c r="C24" s="66" t="str">
        <x:v>R21; R22</x:v>
      </x:c>
      <x:c r="D24" s="3"/>
      <x:c r="E24" s="3"/>
      <x:c r="F24" s="3"/>
      <x:c r="G24" s="3"/>
      <x:c r="H24" s="3"/>
      <x:c r="I24" s="3"/>
      <x:c r="J24" s="3"/>
      <x:c r="K24" s="3"/>
      <x:c r="L24" s="3"/>
      <x:c r="M24" s="3"/>
      <x:c r="N24" s="3"/>
      <x:c r="O24" s="3"/>
      <x:c r="P24" s="3"/>
      <x:c r="Q24" s="3"/>
      <x:c r="R24" s="3"/>
    </x:row>
    <x:row r="25" ht="92" customHeight="1">
      <x:c r="A25" s="66" t="str">
        <x:v>FMEA</x:v>
      </x:c>
      <x:c r="B25" s="66" t="str">
        <x:v>Local 1-5 anchors in the manual. S x O x D is an ordinal prioritisation aid, not an expected financial loss. Severity &gt;=4 requires review regardless of product. Residual ratings appear only after verification.</x:v>
      </x:c>
      <x:c r="C25" s="66" t="str">
        <x:v>R27; R28</x:v>
      </x:c>
      <x:c r="D25" s="3"/>
      <x:c r="E25" s="3"/>
      <x:c r="F25" s="3"/>
      <x:c r="G25" s="3"/>
      <x:c r="H25" s="3"/>
      <x:c r="I25" s="3"/>
      <x:c r="J25" s="3"/>
      <x:c r="K25" s="3"/>
      <x:c r="L25" s="3"/>
      <x:c r="M25" s="3"/>
      <x:c r="N25" s="3"/>
      <x:c r="O25" s="3"/>
      <x:c r="P25" s="3"/>
      <x:c r="Q25" s="3"/>
      <x:c r="R25" s="3"/>
    </x:row>
    <x:row r="26" ht="92" customHeight="1">
      <x:c r="A26" s="66" t="str">
        <x:v>Workbook capacity</x:v>
      </x:c>
      <x:c r="B26" s="66" t="str">
        <x:v>D04:90 rows; D03/D06 and most analysis series:60; S03:80 values with fixed20 baseline; S05:60 subgroups. D07:30 users +30 staff. The workbook does not silently expand formulas when rows are inserted elsewhere.</x:v>
      </x:c>
      <x:c r="C26" s="66" t="str">
        <x:v>Bounded implementation</x:v>
      </x:c>
      <x:c r="D26" s="3"/>
      <x:c r="E26" s="3"/>
      <x:c r="F26" s="3"/>
      <x:c r="G26" s="3"/>
      <x:c r="H26" s="3"/>
      <x:c r="I26" s="3"/>
      <x:c r="J26" s="3"/>
      <x:c r="K26" s="3"/>
      <x:c r="L26" s="3"/>
      <x:c r="M26" s="3"/>
      <x:c r="N26" s="3"/>
      <x:c r="O26" s="3"/>
      <x:c r="P26" s="3"/>
      <x:c r="Q26" s="3"/>
      <x:c r="R26" s="3"/>
    </x:row>
    <x:row r="27" ht="92" customHeight="1">
      <x:c r="A27" s="66" t="str">
        <x:v>No external dependencies</x:v>
      </x:c>
      <x:c r="B27" s="66" t="str">
        <x:v>No VBA macros, network calls or external data connections are required. Internal links open matching tools. Manual references are page numbers in 02 Tool Index. Save a new controlled copy for each assignment.</x:v>
      </x:c>
      <x:c r="C27" s="66" t="str">
        <x:v>Production convention</x:v>
      </x:c>
      <x:c r="D27" s="3"/>
      <x:c r="E27" s="3"/>
      <x:c r="F27" s="3"/>
      <x:c r="G27" s="3"/>
      <x:c r="H27" s="3"/>
      <x:c r="I27" s="3"/>
      <x:c r="J27" s="3"/>
      <x:c r="K27" s="3"/>
      <x:c r="L27" s="3"/>
      <x:c r="M27" s="3"/>
      <x:c r="N27" s="3"/>
      <x:c r="O27" s="3"/>
      <x:c r="P27" s="3"/>
      <x:c r="Q27" s="3"/>
      <x:c r="R27" s="3"/>
    </x:row>
    <x:row r="28" ht="92" customHeight="1">
      <x:c r="A28" s="66" t="str">
        <x:v>Input responsibility</x:v>
      </x:c>
      <x:c r="B28" s="66" t="str">
        <x:v>Local aims, timestamps, dates, units, case-mix decisions and privacy thresholds must be approved for your context. Do not enter sensitive employee or clinical narratives into an unrestricted copy.</x:v>
      </x:c>
      <x:c r="C28" s="66" t="str">
        <x:v>P12; safe use</x:v>
      </x:c>
      <x:c r="D28" s="3"/>
      <x:c r="E28" s="3"/>
      <x:c r="F28" s="3"/>
      <x:c r="G28" s="3"/>
      <x:c r="H28" s="3"/>
      <x:c r="I28" s="3"/>
      <x:c r="J28" s="3"/>
      <x:c r="K28" s="3"/>
      <x:c r="L28" s="3"/>
      <x:c r="M28" s="3"/>
      <x:c r="N28" s="3"/>
      <x:c r="O28" s="3"/>
      <x:c r="P28" s="3"/>
      <x:c r="Q28" s="3"/>
      <x:c r="R28" s="3"/>
    </x:row>
    <x:row r="29" ht="20" customHeight="1">
      <x:c r="A29" s="3"/>
      <x:c r="B29" s="3"/>
      <x:c r="C29" s="3"/>
      <x:c r="D29" s="3"/>
      <x:c r="E29" s="3"/>
      <x:c r="F29" s="3"/>
      <x:c r="G29" s="3"/>
      <x:c r="H29" s="3"/>
      <x:c r="I29" s="3"/>
      <x:c r="J29" s="3"/>
      <x:c r="K29" s="3"/>
      <x:c r="L29" s="3"/>
      <x:c r="M29" s="3"/>
      <x:c r="N29" s="3"/>
      <x:c r="O29" s="3"/>
      <x:c r="P29" s="3"/>
      <x:c r="Q29" s="3"/>
      <x:c r="R29" s="3"/>
    </x:row>
    <x:row r="30" ht="20" customHeight="1">
      <x:c r="A30" s="3"/>
      <x:c r="B30" s="3"/>
      <x:c r="C30" s="3"/>
      <x:c r="D30" s="3"/>
      <x:c r="E30" s="3"/>
      <x:c r="F30" s="3"/>
      <x:c r="G30" s="3"/>
      <x:c r="H30" s="3"/>
      <x:c r="I30" s="3"/>
      <x:c r="J30" s="3"/>
      <x:c r="K30" s="3"/>
      <x:c r="L30" s="3"/>
      <x:c r="M30" s="3"/>
      <x:c r="N30" s="3"/>
      <x:c r="O30" s="3"/>
      <x:c r="P30" s="3"/>
      <x:c r="Q30" s="3"/>
      <x:c r="R30" s="3"/>
    </x:row>
    <x:row r="31" ht="20" customHeight="1">
      <x:c r="A31" s="3"/>
      <x:c r="B31" s="3"/>
      <x:c r="C31" s="3"/>
      <x:c r="D31" s="3"/>
      <x:c r="E31" s="3"/>
      <x:c r="F31" s="3"/>
      <x:c r="G31" s="3"/>
      <x:c r="H31" s="3"/>
      <x:c r="I31" s="3"/>
      <x:c r="J31" s="3"/>
      <x:c r="K31" s="3"/>
      <x:c r="L31" s="3"/>
      <x:c r="M31" s="3"/>
      <x:c r="N31" s="3"/>
      <x:c r="O31" s="3"/>
      <x:c r="P31" s="3"/>
      <x:c r="Q31" s="3"/>
      <x:c r="R31" s="3"/>
    </x:row>
    <x:row r="32" ht="20" customHeight="1">
      <x:c r="A32" s="3"/>
      <x:c r="B32" s="3"/>
      <x:c r="C32" s="3"/>
      <x:c r="D32" s="3"/>
      <x:c r="E32" s="3"/>
      <x:c r="F32" s="3"/>
      <x:c r="G32" s="3"/>
      <x:c r="H32" s="3"/>
      <x:c r="I32" s="3"/>
      <x:c r="J32" s="3"/>
      <x:c r="K32" s="3"/>
      <x:c r="L32" s="3"/>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3"/>
      <x:c r="B34" s="3"/>
      <x:c r="C34" s="3"/>
      <x:c r="D34" s="3"/>
      <x:c r="E34" s="3"/>
      <x:c r="F34" s="3"/>
      <x:c r="G34" s="3"/>
      <x:c r="H34" s="3"/>
      <x:c r="I34" s="3"/>
      <x:c r="J34" s="3"/>
      <x:c r="K34" s="3"/>
      <x:c r="L34" s="3"/>
      <x:c r="M34" s="3"/>
      <x:c r="N34" s="3"/>
      <x:c r="O34" s="3"/>
      <x:c r="P34" s="3"/>
      <x:c r="Q34" s="3"/>
      <x:c r="R34" s="3"/>
    </x:row>
    <x:row r="35" ht="20" customHeight="1">
      <x:c r="A35" s="3"/>
      <x:c r="B35" s="3"/>
      <x:c r="C35" s="3"/>
      <x:c r="D35" s="3"/>
      <x:c r="E35" s="3"/>
      <x:c r="F35" s="3"/>
      <x:c r="G35" s="3"/>
      <x:c r="H35" s="3"/>
      <x:c r="I35" s="3"/>
      <x:c r="J35" s="3"/>
      <x:c r="K35" s="3"/>
      <x:c r="L35" s="3"/>
      <x:c r="M35" s="3"/>
      <x:c r="N35" s="3"/>
      <x:c r="O35" s="3"/>
      <x:c r="P35" s="3"/>
      <x:c r="Q35" s="3"/>
      <x:c r="R35" s="3"/>
    </x:row>
    <x:row r="36" ht="20" customHeight="1">
      <x:c r="A36" s="3"/>
      <x:c r="B36" s="3"/>
      <x:c r="C36" s="3"/>
      <x:c r="D36" s="3"/>
      <x:c r="E36" s="3"/>
      <x:c r="F36" s="3"/>
      <x:c r="G36" s="3"/>
      <x:c r="H36" s="3"/>
      <x:c r="I36" s="3"/>
      <x:c r="J36" s="3"/>
      <x:c r="K36" s="3"/>
      <x:c r="L36" s="3"/>
      <x:c r="M36" s="3"/>
      <x:c r="N36" s="3"/>
      <x:c r="O36" s="3"/>
      <x:c r="P36" s="3"/>
      <x:c r="Q36" s="3"/>
      <x:c r="R36" s="3"/>
    </x:row>
    <x:row r="37" ht="20" customHeight="1">
      <x:c r="A37" s="3"/>
      <x:c r="B37" s="3"/>
      <x:c r="C37" s="3"/>
      <x:c r="D37" s="3"/>
      <x:c r="E37" s="3"/>
      <x:c r="F37" s="3"/>
      <x:c r="G37" s="3"/>
      <x:c r="H37" s="3"/>
      <x:c r="I37" s="3"/>
      <x:c r="J37" s="3"/>
      <x:c r="K37" s="3"/>
      <x:c r="L37" s="3"/>
      <x:c r="M37" s="3"/>
      <x:c r="N37" s="3"/>
      <x:c r="O37" s="3"/>
      <x:c r="P37" s="3"/>
      <x:c r="Q37" s="3"/>
      <x:c r="R37" s="3"/>
    </x:row>
    <x:row r="38" ht="20" customHeight="1">
      <x:c r="A38" s="3"/>
      <x:c r="B38" s="3"/>
      <x:c r="C38" s="3"/>
      <x:c r="D38" s="3"/>
      <x:c r="E38" s="3"/>
      <x:c r="F38" s="3"/>
      <x:c r="G38" s="3"/>
      <x:c r="H38" s="3"/>
      <x:c r="I38" s="3"/>
      <x:c r="J38" s="3"/>
      <x:c r="K38" s="3"/>
      <x:c r="L38" s="3"/>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20" customHeight="1">
      <x:c r="A42" s="3"/>
      <x:c r="B42" s="3"/>
      <x:c r="C42" s="3"/>
      <x:c r="D42" s="3"/>
      <x:c r="E42" s="3"/>
      <x:c r="F42" s="3"/>
      <x:c r="G42" s="3"/>
      <x:c r="H42" s="3"/>
      <x:c r="I42" s="3"/>
      <x:c r="J42" s="3"/>
      <x:c r="K42" s="3"/>
      <x:c r="L42" s="3"/>
      <x:c r="M42" s="3"/>
      <x:c r="N42" s="3"/>
      <x:c r="O42" s="3"/>
      <x:c r="P42" s="3"/>
      <x:c r="Q42" s="3"/>
      <x:c r="R42" s="3"/>
    </x:row>
    <x:row r="43" ht="20" customHeight="1">
      <x:c r="A43" s="3"/>
      <x:c r="B43" s="3"/>
      <x:c r="C43" s="3"/>
      <x:c r="D43" s="3"/>
      <x:c r="E43" s="3"/>
      <x:c r="F43" s="3"/>
      <x:c r="G43" s="3"/>
      <x:c r="H43" s="3"/>
      <x:c r="I43" s="3"/>
      <x:c r="J43" s="3"/>
      <x:c r="K43" s="3"/>
      <x:c r="L43" s="3"/>
      <x:c r="M43" s="3"/>
      <x:c r="N43" s="3"/>
      <x:c r="O43" s="3"/>
      <x:c r="P43" s="3"/>
      <x:c r="Q43" s="3"/>
      <x:c r="R43" s="3"/>
    </x:row>
    <x:row r="44" ht="20" customHeight="1">
      <x:c r="A44" s="3"/>
      <x:c r="B44" s="3"/>
      <x:c r="C44" s="3"/>
      <x:c r="D44" s="3"/>
      <x:c r="E44" s="3"/>
      <x:c r="F44" s="3"/>
      <x:c r="G44" s="3"/>
      <x:c r="H44" s="3"/>
      <x:c r="I44" s="3"/>
      <x:c r="J44" s="3"/>
      <x:c r="K44" s="3"/>
      <x:c r="L44" s="3"/>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3"/>
      <x:c r="B47" s="3"/>
      <x:c r="C47" s="3"/>
      <x:c r="D47" s="3"/>
      <x:c r="E47" s="3"/>
      <x:c r="F47" s="3"/>
      <x:c r="G47" s="3"/>
      <x:c r="H47" s="3"/>
      <x:c r="I47" s="3"/>
      <x:c r="J47" s="3"/>
      <x:c r="K47" s="3"/>
      <x:c r="L47" s="3"/>
      <x:c r="M47" s="3"/>
      <x:c r="N47" s="3"/>
      <x:c r="O47" s="3"/>
      <x:c r="P47" s="3"/>
      <x:c r="Q47" s="3"/>
      <x:c r="R47" s="3"/>
    </x:row>
    <x:row r="48" ht="20" customHeight="1">
      <x:c r="A48" s="3"/>
      <x:c r="B48" s="3"/>
      <x:c r="C48" s="3"/>
      <x:c r="D48" s="3"/>
      <x:c r="E48" s="3"/>
      <x:c r="F48" s="3"/>
      <x:c r="G48" s="3"/>
      <x:c r="H48" s="3"/>
      <x:c r="I48" s="3"/>
      <x:c r="J48" s="3"/>
      <x:c r="K48" s="3"/>
      <x:c r="L48" s="3"/>
      <x:c r="M48" s="3"/>
      <x:c r="N48" s="3"/>
      <x:c r="O48" s="3"/>
      <x:c r="P48" s="3"/>
      <x:c r="Q48" s="3"/>
      <x:c r="R48" s="3"/>
    </x:row>
    <x:row r="49" ht="20" customHeight="1">
      <x:c r="A49" s="3"/>
      <x:c r="B49" s="3"/>
      <x:c r="C49" s="3"/>
      <x:c r="D49" s="3"/>
      <x:c r="E49" s="3"/>
      <x:c r="F49" s="3"/>
      <x:c r="G49" s="3"/>
      <x:c r="H49" s="3"/>
      <x:c r="I49" s="3"/>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s>
  <x:pageMargins left="0.7" right="0.7" top="0.75" bottom="0.75" header="0.3" footer="0.3"/>
</x:worksheet>
</file>

<file path=xl/worksheets/sheet6.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0" hidden="0" customWidth="1"/>
    <x:col min="2" max="2" width="14" hidden="0" customWidth="1"/>
    <x:col min="3" max="3" width="32" hidden="0" customWidth="1"/>
    <x:col min="4" max="4" width="40" hidden="0" customWidth="1"/>
    <x:col min="5" max="5" width="65" hidden="0" customWidth="1"/>
    <x:col min="6" max="6" width="65"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HR DELIVERY | 05 Sources</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Process Improvement Framework &amp; Toolkit - companion working records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ID</x:v>
      </x:c>
      <x:c r="B9" s="77" t="str">
        <x:v>Basis</x:v>
      </x:c>
      <x:c r="C9" s="77" t="str">
        <x:v>Organisation</x:v>
      </x:c>
      <x:c r="D9" s="77" t="str">
        <x:v>Title</x:v>
      </x:c>
      <x:c r="E9" s="77" t="str">
        <x:v>URL / supplied filename</x:v>
      </x:c>
      <x:c r="F9" s="77" t="str">
        <x:v>Use / limitations</x:v>
      </x:c>
      <x:c r="G9" s="3"/>
      <x:c r="H9" s="3"/>
      <x:c r="I9" s="3"/>
      <x:c r="J9" s="3"/>
      <x:c r="K9" s="3"/>
      <x:c r="L9" s="3"/>
      <x:c r="M9" s="3"/>
      <x:c r="N9" s="3"/>
      <x:c r="O9" s="3"/>
      <x:c r="P9" s="3"/>
      <x:c r="Q9" s="3"/>
      <x:c r="R9" s="3"/>
    </x:row>
    <x:row r="10" ht="66" customHeight="1">
      <x:c r="A10" s="46" t="str">
        <x:v>U01</x:v>
      </x:c>
      <x:c r="B10" s="46" t="str">
        <x:v>Supplied</x:v>
      </x:c>
      <x:c r="C10" s="46" t="str">
        <x:v>NHS England and NHS Improvement</x:v>
      </x:c>
      <x:c r="D10" s="46" t="str">
        <x:v>PDSA cycles and the model for improvement</x:v>
      </x:c>
      <x:c r="E10" s="46" t="str">
        <x:v>qsir-pdsa-cycles-model-for-improvement.pdf</x:v>
      </x:c>
      <x:c r="F10" s="46" t="str">
        <x:v>Three questions; Plan, Do, Study, Act; predictions, small tests and linked cycles.</x:v>
      </x:c>
      <x:c r="G10" s="3"/>
      <x:c r="H10" s="3"/>
      <x:c r="I10" s="3"/>
      <x:c r="J10" s="3"/>
      <x:c r="K10" s="3"/>
      <x:c r="L10" s="3"/>
      <x:c r="M10" s="3"/>
      <x:c r="N10" s="3"/>
      <x:c r="O10" s="3"/>
      <x:c r="P10" s="3"/>
      <x:c r="Q10" s="3"/>
      <x:c r="R10" s="3"/>
    </x:row>
    <x:row r="11" ht="66" customHeight="1">
      <x:c r="A11" s="46" t="str">
        <x:v>U02</x:v>
      </x:c>
      <x:c r="B11" s="46" t="str">
        <x:v>Supplied</x:v>
      </x:c>
      <x:c r="C11" s="46" t="str">
        <x:v>NHS Improving Quality; Zoe Lord and Lisa Smith</x:v>
      </x:c>
      <x:c r="D11" s="46" t="str">
        <x:v>Bringing Lean to Life: Making processes flow in healthcare</x:v>
      </x:c>
      <x:c r="E11" s="46" t="str">
        <x:v>Bringing-Lean-to-Life.pdf</x:v>
      </x:c>
      <x:c r="F11" s="46" t="str">
        <x:v>Five principles, A3, value stream mapping, waste, flow, pull, takt, 5S and standard work.</x:v>
      </x:c>
      <x:c r="G11" s="3"/>
      <x:c r="H11" s="3"/>
      <x:c r="I11" s="3"/>
      <x:c r="J11" s="3"/>
      <x:c r="K11" s="3"/>
      <x:c r="L11" s="3"/>
      <x:c r="M11" s="3"/>
      <x:c r="N11" s="3"/>
      <x:c r="O11" s="3"/>
      <x:c r="P11" s="3"/>
      <x:c r="Q11" s="3"/>
      <x:c r="R11" s="3"/>
    </x:row>
    <x:row r="12" ht="66" customHeight="1">
      <x:c r="A12" s="46" t="str">
        <x:v>U03</x:v>
      </x:c>
      <x:c r="B12" s="46" t="str">
        <x:v>Supplied</x:v>
      </x:c>
      <x:c r="C12" s="46" t="str">
        <x:v>Anthony N. Cascio</x:v>
      </x:c>
      <x:c r="D12" s="46" t="str">
        <x:v>LEAN Process Improvement; presentation dated 8 November 2013</x:v>
      </x:c>
      <x:c r="E12" s="46" t="str">
        <x:v>LMGT-2018.pdf</x:v>
      </x:c>
      <x:c r="F12" s="46" t="str">
        <x:v>Respectful process focus; waste categories; visual management, work sequencing, JIT, jidoka and case teaching. Filename is not the presentation date.</x:v>
      </x:c>
      <x:c r="G12" s="3"/>
      <x:c r="H12" s="3"/>
      <x:c r="I12" s="3"/>
      <x:c r="J12" s="3"/>
      <x:c r="K12" s="3"/>
      <x:c r="L12" s="3"/>
      <x:c r="M12" s="3"/>
      <x:c r="N12" s="3"/>
      <x:c r="O12" s="3"/>
      <x:c r="P12" s="3"/>
      <x:c r="Q12" s="3"/>
      <x:c r="R12" s="3"/>
    </x:row>
    <x:row r="13" ht="66" customHeight="1">
      <x:c r="A13" s="46" t="str">
        <x:v>U04</x:v>
      </x:c>
      <x:c r="B13" s="46" t="str">
        <x:v>Supplied</x:v>
      </x:c>
      <x:c r="C13" s="46" t="str">
        <x:v>Author not identified in supplied excerpt; acknowledgements refer to UC Berkeley CLEAR</x:v>
      </x:c>
      <x:c r="D13" s="46" t="str">
        <x:v>Process Improvement (PI) Tools: Typology and Descriptions</x:v>
      </x:c>
      <x:c r="E13" s="46" t="str">
        <x:v>process-improvement-tools.pdf</x:v>
      </x:c>
      <x:c r="F13" s="46" t="str">
        <x:v>Tool selection, descriptions, limits and source leads. Used as a typology, not as validated instruments.</x:v>
      </x:c>
      <x:c r="G13" s="3"/>
      <x:c r="H13" s="3"/>
      <x:c r="I13" s="3"/>
      <x:c r="J13" s="3"/>
      <x:c r="K13" s="3"/>
      <x:c r="L13" s="3"/>
      <x:c r="M13" s="3"/>
      <x:c r="N13" s="3"/>
      <x:c r="O13" s="3"/>
      <x:c r="P13" s="3"/>
      <x:c r="Q13" s="3"/>
      <x:c r="R13" s="3"/>
    </x:row>
    <x:row r="14" ht="66" customHeight="1">
      <x:c r="A14" s="46" t="str">
        <x:v>R01</x:v>
      </x:c>
      <x:c r="B14" s="46" t="str">
        <x:v>Research</x:v>
      </x:c>
      <x:c r="C14" s="46" t="str">
        <x:v>Institute for Healthcare Improvement</x:v>
      </x:c>
      <x:c r="D14" s="46" t="str">
        <x:v>Model for Improvement</x:v>
      </x:c>
      <x:c r="E14" s="46" t="str">
        <x:v>https://www.ihi.org/library/model-for-improvement</x:v>
      </x:c>
      <x:c r="F14" s="46" t="str">
        <x:v>Attribution to Associates in Process Improvement; two components and iterative questions.</x:v>
      </x:c>
      <x:c r="G14" s="3"/>
      <x:c r="H14" s="3"/>
      <x:c r="I14" s="3"/>
      <x:c r="J14" s="3"/>
      <x:c r="K14" s="3"/>
      <x:c r="L14" s="3"/>
      <x:c r="M14" s="3"/>
      <x:c r="N14" s="3"/>
      <x:c r="O14" s="3"/>
      <x:c r="P14" s="3"/>
      <x:c r="Q14" s="3"/>
      <x:c r="R14" s="3"/>
    </x:row>
    <x:row r="15" ht="66" customHeight="1">
      <x:c r="A15" s="46" t="str">
        <x:v>R02</x:v>
      </x:c>
      <x:c r="B15" s="46" t="str">
        <x:v>Research</x:v>
      </x:c>
      <x:c r="C15" s="46" t="str">
        <x:v>Institute for Healthcare Improvement</x:v>
      </x:c>
      <x:c r="D15" s="46" t="str">
        <x:v>Testing Changes</x:v>
      </x:c>
      <x:c r="E15" s="46" t="str">
        <x:v>https://www.ihi.org/library/model-for-improvement/testing-changes</x:v>
      </x:c>
      <x:c r="F15" s="46" t="str">
        <x:v>Small tests, predictions, unexpected observations and learning across cycles.</x:v>
      </x:c>
      <x:c r="G15" s="3"/>
      <x:c r="H15" s="3"/>
      <x:c r="I15" s="3"/>
      <x:c r="J15" s="3"/>
      <x:c r="K15" s="3"/>
      <x:c r="L15" s="3"/>
      <x:c r="M15" s="3"/>
      <x:c r="N15" s="3"/>
      <x:c r="O15" s="3"/>
      <x:c r="P15" s="3"/>
      <x:c r="Q15" s="3"/>
      <x:c r="R15" s="3"/>
    </x:row>
    <x:row r="16" ht="66" customHeight="1">
      <x:c r="A16" s="46" t="str">
        <x:v>R03</x:v>
      </x:c>
      <x:c r="B16" s="46" t="str">
        <x:v>Research</x:v>
      </x:c>
      <x:c r="C16" s="46" t="str">
        <x:v>Institute for Healthcare Improvement</x:v>
      </x:c>
      <x:c r="D16" s="46" t="str">
        <x:v>Establishing Measures</x:v>
      </x:c>
      <x:c r="E16" s="46" t="str">
        <x:v>https://www.ihi.org/library/model-for-improvement/establishing-measures</x:v>
      </x:c>
      <x:c r="F16" s="46" t="str">
        <x:v>Outcome, process and balancing measures; inclusion and time-series data.</x:v>
      </x:c>
      <x:c r="G16" s="3"/>
      <x:c r="H16" s="3"/>
      <x:c r="I16" s="3"/>
      <x:c r="J16" s="3"/>
      <x:c r="K16" s="3"/>
      <x:c r="L16" s="3"/>
      <x:c r="M16" s="3"/>
      <x:c r="N16" s="3"/>
      <x:c r="O16" s="3"/>
      <x:c r="P16" s="3"/>
      <x:c r="Q16" s="3"/>
      <x:c r="R16" s="3"/>
    </x:row>
    <x:row r="17" ht="66" customHeight="1">
      <x:c r="A17" s="46" t="str">
        <x:v>R04</x:v>
      </x:c>
      <x:c r="B17" s="46" t="str">
        <x:v>Research</x:v>
      </x:c>
      <x:c r="C17" s="46" t="str">
        <x:v>Institute for Healthcare Improvement</x:v>
      </x:c>
      <x:c r="D17" s="46" t="str">
        <x:v>PDSA Worksheet</x:v>
      </x:c>
      <x:c r="E17" s="46" t="str">
        <x:v>https://www.ihi.org/library/tools/plan-do-study-act-pdsa-worksheet</x:v>
      </x:c>
      <x:c r="F17" s="46" t="str">
        <x:v>Separate records for each test and links across a series.</x:v>
      </x:c>
      <x:c r="G17" s="3"/>
      <x:c r="H17" s="3"/>
      <x:c r="I17" s="3"/>
      <x:c r="J17" s="3"/>
      <x:c r="K17" s="3"/>
      <x:c r="L17" s="3"/>
      <x:c r="M17" s="3"/>
      <x:c r="N17" s="3"/>
      <x:c r="O17" s="3"/>
      <x:c r="P17" s="3"/>
      <x:c r="Q17" s="3"/>
      <x:c r="R17" s="3"/>
    </x:row>
    <x:row r="18" ht="66" customHeight="1">
      <x:c r="A18" s="46" t="str">
        <x:v>R05</x:v>
      </x:c>
      <x:c r="B18" s="46" t="str">
        <x:v>Research</x:v>
      </x:c>
      <x:c r="C18" s="46" t="str">
        <x:v>Institute for Healthcare Improvement</x:v>
      </x:c>
      <x:c r="D18" s="46" t="str">
        <x:v>Run Chart Tool</x:v>
      </x:c>
      <x:c r="E18" s="46" t="str">
        <x:v>https://www.ihi.org/library/tools/run-chart-tool</x:v>
      </x:c>
      <x:c r="F18" s="46" t="str">
        <x:v>Time-ordered evidence; median and run-chart interpretation.</x:v>
      </x:c>
      <x:c r="G18" s="3"/>
      <x:c r="H18" s="3"/>
      <x:c r="I18" s="3"/>
      <x:c r="J18" s="3"/>
      <x:c r="K18" s="3"/>
      <x:c r="L18" s="3"/>
      <x:c r="M18" s="3"/>
      <x:c r="N18" s="3"/>
      <x:c r="O18" s="3"/>
      <x:c r="P18" s="3"/>
      <x:c r="Q18" s="3"/>
      <x:c r="R18" s="3"/>
    </x:row>
    <x:row r="19" ht="66" customHeight="1">
      <x:c r="A19" s="46" t="str">
        <x:v>R06</x:v>
      </x:c>
      <x:c r="B19" s="46" t="str">
        <x:v>Research</x:v>
      </x:c>
      <x:c r="C19" s="46" t="str">
        <x:v>NIST/SEMATECH</x:v>
      </x:c>
      <x:c r="D19" s="46" t="str">
        <x:v>Individuals Control Charts</x:v>
      </x:c>
      <x:c r="E19" s="46" t="str">
        <x:v>https://www.itl.nist.gov/div898/handbook/pmc/section3/pmc322.htm</x:v>
      </x:c>
      <x:c r="F19" s="46" t="str">
        <x:v>Individuals and moving-range definitions; d2 = 1.128 for ranges of two.</x:v>
      </x:c>
      <x:c r="G19" s="3"/>
      <x:c r="H19" s="3"/>
      <x:c r="I19" s="3"/>
      <x:c r="J19" s="3"/>
      <x:c r="K19" s="3"/>
      <x:c r="L19" s="3"/>
      <x:c r="M19" s="3"/>
      <x:c r="N19" s="3"/>
      <x:c r="O19" s="3"/>
      <x:c r="P19" s="3"/>
      <x:c r="Q19" s="3"/>
      <x:c r="R19" s="3"/>
    </x:row>
    <x:row r="20" ht="66" customHeight="1">
      <x:c r="A20" s="46" t="str">
        <x:v>R07</x:v>
      </x:c>
      <x:c r="B20" s="46" t="str">
        <x:v>Research</x:v>
      </x:c>
      <x:c r="C20" s="46" t="str">
        <x:v>NIST/SEMATECH</x:v>
      </x:c>
      <x:c r="D20" s="46" t="str">
        <x:v>Proportions Control Charts</x:v>
      </x:c>
      <x:c r="E20" s="46" t="str">
        <x:v>https://www.itl.nist.gov/div898/handbook/pmc/section3/pmc332.htm</x:v>
      </x:c>
      <x:c r="F20" s="46" t="str">
        <x:v>Binomial proportions and three-sigma limits; independence assumptions.</x:v>
      </x:c>
      <x:c r="G20" s="3"/>
      <x:c r="H20" s="3"/>
      <x:c r="I20" s="3"/>
      <x:c r="J20" s="3"/>
      <x:c r="K20" s="3"/>
      <x:c r="L20" s="3"/>
      <x:c r="M20" s="3"/>
      <x:c r="N20" s="3"/>
      <x:c r="O20" s="3"/>
      <x:c r="P20" s="3"/>
      <x:c r="Q20" s="3"/>
      <x:c r="R20" s="3"/>
    </x:row>
    <x:row r="21" ht="66" customHeight="1">
      <x:c r="A21" s="46" t="str">
        <x:v>R08</x:v>
      </x:c>
      <x:c r="B21" s="46" t="str">
        <x:v>Research</x:v>
      </x:c>
      <x:c r="C21" s="46" t="str">
        <x:v>ASQ</x:v>
      </x:c>
      <x:c r="D21" s="46" t="str">
        <x:v>Pareto Chart</x:v>
      </x:c>
      <x:c r="E21" s="46" t="str">
        <x:v>https://asq.org/quality-resources/pareto</x:v>
      </x:c>
      <x:c r="F21" s="46" t="str">
        <x:v>Descending counts and optional cumulative percentages.</x:v>
      </x:c>
      <x:c r="G21" s="3"/>
      <x:c r="H21" s="3"/>
      <x:c r="I21" s="3"/>
      <x:c r="J21" s="3"/>
      <x:c r="K21" s="3"/>
      <x:c r="L21" s="3"/>
      <x:c r="M21" s="3"/>
      <x:c r="N21" s="3"/>
      <x:c r="O21" s="3"/>
      <x:c r="P21" s="3"/>
      <x:c r="Q21" s="3"/>
      <x:c r="R21" s="3"/>
    </x:row>
    <x:row r="22" ht="66" customHeight="1">
      <x:c r="A22" s="46" t="str">
        <x:v>R09</x:v>
      </x:c>
      <x:c r="B22" s="46" t="str">
        <x:v>Research</x:v>
      </x:c>
      <x:c r="C22" s="46" t="str">
        <x:v>ASQ</x:v>
      </x:c>
      <x:c r="D22" s="46" t="str">
        <x:v>Fishbone Diagram</x:v>
      </x:c>
      <x:c r="E22" s="46" t="str">
        <x:v>https://asq.org/quality-resources/fishbone</x:v>
      </x:c>
      <x:c r="F22" s="46" t="str">
        <x:v>Cause-and-effect exploration.</x:v>
      </x:c>
      <x:c r="G22" s="3"/>
      <x:c r="H22" s="3"/>
      <x:c r="I22" s="3"/>
      <x:c r="J22" s="3"/>
      <x:c r="K22" s="3"/>
      <x:c r="L22" s="3"/>
      <x:c r="M22" s="3"/>
      <x:c r="N22" s="3"/>
      <x:c r="O22" s="3"/>
      <x:c r="P22" s="3"/>
      <x:c r="Q22" s="3"/>
      <x:c r="R22" s="3"/>
    </x:row>
    <x:row r="23" ht="66" customHeight="1">
      <x:c r="A23" s="46" t="str">
        <x:v>R10</x:v>
      </x:c>
      <x:c r="B23" s="46" t="str">
        <x:v>Research</x:v>
      </x:c>
      <x:c r="C23" s="46" t="str">
        <x:v>Institute for Healthcare Improvement</x:v>
      </x:c>
      <x:c r="D23" s="46" t="str">
        <x:v>Driver Diagram</x:v>
      </x:c>
      <x:c r="E23" s="46" t="str">
        <x:v>https://www.ihi.org/library/tools/driver-diagram</x:v>
      </x:c>
      <x:c r="F23" s="46" t="str">
        <x:v>Aim, primary drivers, secondary drivers and change ideas.</x:v>
      </x:c>
      <x:c r="G23" s="3"/>
      <x:c r="H23" s="3"/>
      <x:c r="I23" s="3"/>
      <x:c r="J23" s="3"/>
      <x:c r="K23" s="3"/>
      <x:c r="L23" s="3"/>
      <x:c r="M23" s="3"/>
      <x:c r="N23" s="3"/>
      <x:c r="O23" s="3"/>
      <x:c r="P23" s="3"/>
      <x:c r="Q23" s="3"/>
      <x:c r="R23" s="3"/>
    </x:row>
    <x:row r="24" ht="66" customHeight="1">
      <x:c r="A24" s="46" t="str">
        <x:v>R11</x:v>
      </x:c>
      <x:c r="B24" s="46" t="str">
        <x:v>Research</x:v>
      </x:c>
      <x:c r="C24" s="46" t="str">
        <x:v>ASQ</x:v>
      </x:c>
      <x:c r="D24" s="46" t="str">
        <x:v>SIPOC+CM Diagram</x:v>
      </x:c>
      <x:c r="E24" s="46" t="str">
        <x:v>https://asq.org/quality-resources/sipoc</x:v>
      </x:c>
      <x:c r="F24" s="46" t="str">
        <x:v>Suppliers, inputs, process, outputs and customers; constraints and measures.</x:v>
      </x:c>
      <x:c r="G24" s="3"/>
      <x:c r="H24" s="3"/>
      <x:c r="I24" s="3"/>
      <x:c r="J24" s="3"/>
      <x:c r="K24" s="3"/>
      <x:c r="L24" s="3"/>
      <x:c r="M24" s="3"/>
      <x:c r="N24" s="3"/>
      <x:c r="O24" s="3"/>
      <x:c r="P24" s="3"/>
      <x:c r="Q24" s="3"/>
      <x:c r="R24" s="3"/>
    </x:row>
    <x:row r="25" ht="66" customHeight="1">
      <x:c r="A25" s="46" t="str">
        <x:v>R12</x:v>
      </x:c>
      <x:c r="B25" s="46" t="str">
        <x:v>Research</x:v>
      </x:c>
      <x:c r="C25" s="46" t="str">
        <x:v>Lean Enterprise Institute</x:v>
      </x:c>
      <x:c r="D25" s="46" t="str">
        <x:v>Lean Thinking and Practice</x:v>
      </x:c>
      <x:c r="E25" s="46" t="str">
        <x:v>https://www.lean.org/lexicon-terms/lean-thinking-and-practice/</x:v>
      </x:c>
      <x:c r="F25" s="46" t="str">
        <x:v>Womack and Jones five principles; purpose, process and people.</x:v>
      </x:c>
      <x:c r="G25" s="3"/>
      <x:c r="H25" s="3"/>
      <x:c r="I25" s="3"/>
      <x:c r="J25" s="3"/>
      <x:c r="K25" s="3"/>
      <x:c r="L25" s="3"/>
      <x:c r="M25" s="3"/>
      <x:c r="N25" s="3"/>
      <x:c r="O25" s="3"/>
      <x:c r="P25" s="3"/>
      <x:c r="Q25" s="3"/>
      <x:c r="R25" s="3"/>
    </x:row>
    <x:row r="26" ht="66" customHeight="1">
      <x:c r="A26" s="46" t="str">
        <x:v>R13</x:v>
      </x:c>
      <x:c r="B26" s="46" t="str">
        <x:v>Research</x:v>
      </x:c>
      <x:c r="C26" s="46" t="str">
        <x:v>Toyota Motor Corporation</x:v>
      </x:c>
      <x:c r="D26" s="46" t="str">
        <x:v>Toyota Production System</x:v>
      </x:c>
      <x:c r="E26" s="46" t="str">
        <x:v>https://global.toyota/en/company/vision-and-philosophy/production-system/</x:v>
      </x:c>
      <x:c r="F26" s="46" t="str">
        <x:v>Jidoka, Just-in-Time, human capability and making work easier.</x:v>
      </x:c>
      <x:c r="G26" s="3"/>
      <x:c r="H26" s="3"/>
      <x:c r="I26" s="3"/>
      <x:c r="J26" s="3"/>
      <x:c r="K26" s="3"/>
      <x:c r="L26" s="3"/>
      <x:c r="M26" s="3"/>
      <x:c r="N26" s="3"/>
      <x:c r="O26" s="3"/>
      <x:c r="P26" s="3"/>
      <x:c r="Q26" s="3"/>
      <x:c r="R26" s="3"/>
    </x:row>
    <x:row r="27" ht="66" customHeight="1">
      <x:c r="A27" s="46" t="str">
        <x:v>R14</x:v>
      </x:c>
      <x:c r="B27" s="46" t="str">
        <x:v>Research</x:v>
      </x:c>
      <x:c r="C27" s="46" t="str">
        <x:v>Shingo Institute, Utah State University</x:v>
      </x:c>
      <x:c r="D27" s="46" t="str">
        <x:v>Shingo Model</x:v>
      </x:c>
      <x:c r="E27" s="46" t="str">
        <x:v>https://shingo.org/shingo-model/</x:v>
      </x:c>
      <x:c r="F27" s="46" t="str">
        <x:v>Respect, humility and principles supporting systems and behaviours.</x:v>
      </x:c>
      <x:c r="G27" s="3"/>
      <x:c r="H27" s="3"/>
      <x:c r="I27" s="3"/>
      <x:c r="J27" s="3"/>
      <x:c r="K27" s="3"/>
      <x:c r="L27" s="3"/>
      <x:c r="M27" s="3"/>
      <x:c r="N27" s="3"/>
      <x:c r="O27" s="3"/>
      <x:c r="P27" s="3"/>
      <x:c r="Q27" s="3"/>
      <x:c r="R27" s="3"/>
    </x:row>
    <x:row r="28" ht="66" customHeight="1">
      <x:c r="A28" s="46" t="str">
        <x:v>R15</x:v>
      </x:c>
      <x:c r="B28" s="46" t="str">
        <x:v>Research</x:v>
      </x:c>
      <x:c r="C28" s="46" t="str">
        <x:v>Lean Enterprise Institute</x:v>
      </x:c>
      <x:c r="D28" s="46" t="str">
        <x:v>A3 Report</x:v>
      </x:c>
      <x:c r="E28" s="46" t="str">
        <x:v>https://www.lean.org/lexicon-terms/a3-report/</x:v>
      </x:c>
      <x:c r="F28" s="46" t="str">
        <x:v>Problem-solving dialogue rather than a form alone.</x:v>
      </x:c>
      <x:c r="G28" s="3"/>
      <x:c r="H28" s="3"/>
      <x:c r="I28" s="3"/>
      <x:c r="J28" s="3"/>
      <x:c r="K28" s="3"/>
      <x:c r="L28" s="3"/>
      <x:c r="M28" s="3"/>
      <x:c r="N28" s="3"/>
      <x:c r="O28" s="3"/>
      <x:c r="P28" s="3"/>
      <x:c r="Q28" s="3"/>
      <x:c r="R28" s="3"/>
    </x:row>
    <x:row r="29" ht="66" customHeight="1">
      <x:c r="A29" s="46" t="str">
        <x:v>R16</x:v>
      </x:c>
      <x:c r="B29" s="46" t="str">
        <x:v>Research</x:v>
      </x:c>
      <x:c r="C29" s="46" t="str">
        <x:v>Lean Enterprise Institute</x:v>
      </x:c>
      <x:c r="D29" s="46" t="str">
        <x:v>Gemba</x:v>
      </x:c>
      <x:c r="E29" s="46" t="str">
        <x:v>https://www.lean.org/lexicon-terms/gemba/</x:v>
      </x:c>
      <x:c r="F29" s="46" t="str">
        <x:v>Direct observation at the place where value is created.</x:v>
      </x:c>
      <x:c r="G29" s="3"/>
      <x:c r="H29" s="3"/>
      <x:c r="I29" s="3"/>
      <x:c r="J29" s="3"/>
      <x:c r="K29" s="3"/>
      <x:c r="L29" s="3"/>
      <x:c r="M29" s="3"/>
      <x:c r="N29" s="3"/>
      <x:c r="O29" s="3"/>
      <x:c r="P29" s="3"/>
      <x:c r="Q29" s="3"/>
      <x:c r="R29" s="3"/>
    </x:row>
    <x:row r="30" ht="66" customHeight="1">
      <x:c r="A30" s="46" t="str">
        <x:v>R17</x:v>
      </x:c>
      <x:c r="B30" s="46" t="str">
        <x:v>Research</x:v>
      </x:c>
      <x:c r="C30" s="46" t="str">
        <x:v>Lean Enterprise Institute</x:v>
      </x:c>
      <x:c r="D30" s="46" t="str">
        <x:v>Value Stream Mapping</x:v>
      </x:c>
      <x:c r="E30" s="46" t="str">
        <x:v>https://www.lean.org/lexicon-terms/value-stream-mapping/</x:v>
      </x:c>
      <x:c r="F30" s="46" t="str">
        <x:v>Current and future state; material and information flows.</x:v>
      </x:c>
      <x:c r="G30" s="3"/>
      <x:c r="H30" s="3"/>
      <x:c r="I30" s="3"/>
      <x:c r="J30" s="3"/>
      <x:c r="K30" s="3"/>
      <x:c r="L30" s="3"/>
      <x:c r="M30" s="3"/>
      <x:c r="N30" s="3"/>
      <x:c r="O30" s="3"/>
      <x:c r="P30" s="3"/>
      <x:c r="Q30" s="3"/>
      <x:c r="R30" s="3"/>
    </x:row>
    <x:row r="31" ht="66" customHeight="1">
      <x:c r="A31" s="46" t="str">
        <x:v>R18</x:v>
      </x:c>
      <x:c r="B31" s="46" t="str">
        <x:v>Research</x:v>
      </x:c>
      <x:c r="C31" s="46" t="str">
        <x:v>Lean Enterprise Institute</x:v>
      </x:c>
      <x:c r="D31" s="46" t="str">
        <x:v>5 Whys</x:v>
      </x:c>
      <x:c r="E31" s="46" t="str">
        <x:v>https://www.lean.org/lexicon-terms/5-whys/</x:v>
      </x:c>
      <x:c r="F31" s="46" t="str">
        <x:v>Repeated inquiry beyond symptoms; five is not a stopping rule.</x:v>
      </x:c>
      <x:c r="G31" s="3"/>
      <x:c r="H31" s="3"/>
      <x:c r="I31" s="3"/>
      <x:c r="J31" s="3"/>
      <x:c r="K31" s="3"/>
      <x:c r="L31" s="3"/>
      <x:c r="M31" s="3"/>
      <x:c r="N31" s="3"/>
      <x:c r="O31" s="3"/>
      <x:c r="P31" s="3"/>
      <x:c r="Q31" s="3"/>
      <x:c r="R31" s="3"/>
    </x:row>
    <x:row r="32" ht="66" customHeight="1">
      <x:c r="A32" s="46" t="str">
        <x:v>R19</x:v>
      </x:c>
      <x:c r="B32" s="46" t="str">
        <x:v>Research</x:v>
      </x:c>
      <x:c r="C32" s="46" t="str">
        <x:v>ASQ</x:v>
      </x:c>
      <x:c r="D32" s="46" t="str">
        <x:v>Process Analysis Tools</x:v>
      </x:c>
      <x:c r="E32" s="46" t="str">
        <x:v>https://asq.org/quality-resources/process-analysis-tools</x:v>
      </x:c>
      <x:c r="F32" s="46" t="str">
        <x:v>Flowcharts, spaghetti diagrams, FMEA and mistake-proofing.</x:v>
      </x:c>
      <x:c r="G32" s="3"/>
      <x:c r="H32" s="3"/>
      <x:c r="I32" s="3"/>
      <x:c r="J32" s="3"/>
      <x:c r="K32" s="3"/>
      <x:c r="L32" s="3"/>
      <x:c r="M32" s="3"/>
      <x:c r="N32" s="3"/>
      <x:c r="O32" s="3"/>
      <x:c r="P32" s="3"/>
      <x:c r="Q32" s="3"/>
      <x:c r="R32" s="3"/>
    </x:row>
    <x:row r="33" ht="66" customHeight="1">
      <x:c r="A33" s="46" t="str">
        <x:v>R20</x:v>
      </x:c>
      <x:c r="B33" s="46" t="str">
        <x:v>Research</x:v>
      </x:c>
      <x:c r="C33" s="46" t="str">
        <x:v>Lean Enterprise Institute</x:v>
      </x:c>
      <x:c r="D33" s="46" t="str">
        <x:v>Standardized Work</x:v>
      </x:c>
      <x:c r="E33" s="46" t="str">
        <x:v>https://www.lean.org/lexicon-terms/standardized-work/</x:v>
      </x:c>
      <x:c r="F33" s="46" t="str">
        <x:v>Takt, sequence and standard work in progress.</x:v>
      </x:c>
      <x:c r="G33" s="3"/>
      <x:c r="H33" s="3"/>
      <x:c r="I33" s="3"/>
      <x:c r="J33" s="3"/>
      <x:c r="K33" s="3"/>
      <x:c r="L33" s="3"/>
      <x:c r="M33" s="3"/>
      <x:c r="N33" s="3"/>
      <x:c r="O33" s="3"/>
      <x:c r="P33" s="3"/>
      <x:c r="Q33" s="3"/>
      <x:c r="R33" s="3"/>
    </x:row>
    <x:row r="34" ht="66" customHeight="1">
      <x:c r="A34" s="46" t="str">
        <x:v>R21</x:v>
      </x:c>
      <x:c r="B34" s="46" t="str">
        <x:v>Research</x:v>
      </x:c>
      <x:c r="C34" s="46" t="str">
        <x:v>Lean Enterprise Institute</x:v>
      </x:c>
      <x:c r="D34" s="46" t="str">
        <x:v>Takt Time</x:v>
      </x:c>
      <x:c r="E34" s="46" t="str">
        <x:v>https://www.lean.org/lexicon-terms/takt-time/</x:v>
      </x:c>
      <x:c r="F34" s="46" t="str">
        <x:v>Available time divided by demand.</x:v>
      </x:c>
      <x:c r="G34" s="3"/>
      <x:c r="H34" s="3"/>
      <x:c r="I34" s="3"/>
      <x:c r="J34" s="3"/>
      <x:c r="K34" s="3"/>
      <x:c r="L34" s="3"/>
      <x:c r="M34" s="3"/>
      <x:c r="N34" s="3"/>
      <x:c r="O34" s="3"/>
      <x:c r="P34" s="3"/>
      <x:c r="Q34" s="3"/>
      <x:c r="R34" s="3"/>
    </x:row>
    <x:row r="35" ht="66" customHeight="1">
      <x:c r="A35" s="46" t="str">
        <x:v>R22</x:v>
      </x:c>
      <x:c r="B35" s="46" t="str">
        <x:v>Research</x:v>
      </x:c>
      <x:c r="C35" s="46" t="str">
        <x:v>Lean Enterprise Institute</x:v>
      </x:c>
      <x:c r="D35" s="46" t="str">
        <x:v>Kanban</x:v>
      </x:c>
      <x:c r="E35" s="46" t="str">
        <x:v>https://www.lean.org/lexicon-terms/kanban/</x:v>
      </x:c>
      <x:c r="F35" s="46" t="str">
        <x:v>Signals authorising production or withdrawal within a pull system.</x:v>
      </x:c>
      <x:c r="G35" s="3"/>
      <x:c r="H35" s="3"/>
      <x:c r="I35" s="3"/>
      <x:c r="J35" s="3"/>
      <x:c r="K35" s="3"/>
      <x:c r="L35" s="3"/>
      <x:c r="M35" s="3"/>
      <x:c r="N35" s="3"/>
      <x:c r="O35" s="3"/>
      <x:c r="P35" s="3"/>
      <x:c r="Q35" s="3"/>
      <x:c r="R35" s="3"/>
    </x:row>
    <x:row r="36" ht="66" customHeight="1">
      <x:c r="A36" s="46" t="str">
        <x:v>R23</x:v>
      </x:c>
      <x:c r="B36" s="46" t="str">
        <x:v>Research</x:v>
      </x:c>
      <x:c r="C36" s="46" t="str">
        <x:v>Lean Enterprise Institute</x:v>
      </x:c>
      <x:c r="D36" s="46" t="str">
        <x:v>Heijunka</x:v>
      </x:c>
      <x:c r="E36" s="46" t="str">
        <x:v>https://www.lean.org/lexicon-terms/heijunka/</x:v>
      </x:c>
      <x:c r="F36" s="46" t="str">
        <x:v>Levelling volume and mix; not erasing real variation.</x:v>
      </x:c>
      <x:c r="G36" s="3"/>
      <x:c r="H36" s="3"/>
      <x:c r="I36" s="3"/>
      <x:c r="J36" s="3"/>
      <x:c r="K36" s="3"/>
      <x:c r="L36" s="3"/>
      <x:c r="M36" s="3"/>
      <x:c r="N36" s="3"/>
      <x:c r="O36" s="3"/>
      <x:c r="P36" s="3"/>
      <x:c r="Q36" s="3"/>
      <x:c r="R36" s="3"/>
    </x:row>
    <x:row r="37" ht="66" customHeight="1">
      <x:c r="A37" s="46" t="str">
        <x:v>R24</x:v>
      </x:c>
      <x:c r="B37" s="46" t="str">
        <x:v>Research</x:v>
      </x:c>
      <x:c r="C37" s="46" t="str">
        <x:v>Lean Enterprise Institute</x:v>
      </x:c>
      <x:c r="D37" s="46" t="str">
        <x:v>Heijunka Box</x:v>
      </x:c>
      <x:c r="E37" s="46" t="str">
        <x:v>https://www.lean.org/lexicon-terms/heijunka-box/</x:v>
      </x:c>
      <x:c r="F37" s="46" t="str">
        <x:v>Pitch and interval-based release.</x:v>
      </x:c>
      <x:c r="G37" s="3"/>
      <x:c r="H37" s="3"/>
      <x:c r="I37" s="3"/>
      <x:c r="J37" s="3"/>
      <x:c r="K37" s="3"/>
      <x:c r="L37" s="3"/>
      <x:c r="M37" s="3"/>
      <x:c r="N37" s="3"/>
      <x:c r="O37" s="3"/>
      <x:c r="P37" s="3"/>
      <x:c r="Q37" s="3"/>
      <x:c r="R37" s="3"/>
    </x:row>
    <x:row r="38" ht="66" customHeight="1">
      <x:c r="A38" s="46" t="str">
        <x:v>R25</x:v>
      </x:c>
      <x:c r="B38" s="46" t="str">
        <x:v>Research</x:v>
      </x:c>
      <x:c r="C38" s="46" t="str">
        <x:v>Lean Enterprise Institute</x:v>
      </x:c>
      <x:c r="D38" s="46" t="str">
        <x:v>Operator Balance Chart</x:v>
      </x:c>
      <x:c r="E38" s="46" t="str">
        <x:v>https://www.lean.org/lexicon-terms/operator-balance-chart/</x:v>
      </x:c>
      <x:c r="F38" s="46" t="str">
        <x:v>Work elements compared with takt; service adaptation labelled.</x:v>
      </x:c>
      <x:c r="G38" s="3"/>
      <x:c r="H38" s="3"/>
      <x:c r="I38" s="3"/>
      <x:c r="J38" s="3"/>
      <x:c r="K38" s="3"/>
      <x:c r="L38" s="3"/>
      <x:c r="M38" s="3"/>
      <x:c r="N38" s="3"/>
      <x:c r="O38" s="3"/>
      <x:c r="P38" s="3"/>
      <x:c r="Q38" s="3"/>
      <x:c r="R38" s="3"/>
    </x:row>
    <x:row r="39" ht="66" customHeight="1">
      <x:c r="A39" s="46" t="str">
        <x:v>R26</x:v>
      </x:c>
      <x:c r="B39" s="46" t="str">
        <x:v>Research</x:v>
      </x:c>
      <x:c r="C39" s="46" t="str">
        <x:v>Lean Enterprise Institute</x:v>
      </x:c>
      <x:c r="D39" s="46" t="str">
        <x:v>Single Minute Exchange of Die</x:v>
      </x:c>
      <x:c r="E39" s="46" t="str">
        <x:v>https://www.lean.org/lexicon-terms/single-minute-exchange-of-die/</x:v>
      </x:c>
      <x:c r="F39" s="46" t="str">
        <x:v>Internal/external setup and changeover reduction.</x:v>
      </x:c>
      <x:c r="G39" s="3"/>
      <x:c r="H39" s="3"/>
      <x:c r="I39" s="3"/>
      <x:c r="J39" s="3"/>
      <x:c r="K39" s="3"/>
      <x:c r="L39" s="3"/>
      <x:c r="M39" s="3"/>
      <x:c r="N39" s="3"/>
      <x:c r="O39" s="3"/>
      <x:c r="P39" s="3"/>
      <x:c r="Q39" s="3"/>
      <x:c r="R39" s="3"/>
    </x:row>
    <x:row r="40" ht="66" customHeight="1">
      <x:c r="A40" s="46" t="str">
        <x:v>R27</x:v>
      </x:c>
      <x:c r="B40" s="46" t="str">
        <x:v>Research</x:v>
      </x:c>
      <x:c r="C40" s="46" t="str">
        <x:v>ASQ</x:v>
      </x:c>
      <x:c r="D40" s="46" t="str">
        <x:v>Failure Mode and Effects Analysis</x:v>
      </x:c>
      <x:c r="E40" s="46" t="str">
        <x:v>https://asq.org/quality-resources/fmea</x:v>
      </x:c>
      <x:c r="F40" s="46" t="str">
        <x:v>Failure modes, effects, causes, controls and prioritised action.</x:v>
      </x:c>
      <x:c r="G40" s="3"/>
      <x:c r="H40" s="3"/>
      <x:c r="I40" s="3"/>
      <x:c r="J40" s="3"/>
      <x:c r="K40" s="3"/>
      <x:c r="L40" s="3"/>
      <x:c r="M40" s="3"/>
      <x:c r="N40" s="3"/>
      <x:c r="O40" s="3"/>
      <x:c r="P40" s="3"/>
      <x:c r="Q40" s="3"/>
      <x:c r="R40" s="3"/>
    </x:row>
    <x:row r="41" ht="66" customHeight="1">
      <x:c r="A41" s="46" t="str">
        <x:v>R28</x:v>
      </x:c>
      <x:c r="B41" s="46" t="str">
        <x:v>Research</x:v>
      </x:c>
      <x:c r="C41" s="46" t="str">
        <x:v>Institute for Healthcare Improvement</x:v>
      </x:c>
      <x:c r="D41" s="46" t="str">
        <x:v>FMEA Tool</x:v>
      </x:c>
      <x:c r="E41" s="46" t="str">
        <x:v>https://www.ihi.org/library/tools/failure-modes-and-effects-analysis-fmea-tool</x:v>
      </x:c>
      <x:c r="F41" s="46" t="str">
        <x:v>Proactive process review before implementing changes.</x:v>
      </x:c>
      <x:c r="G41" s="3"/>
      <x:c r="H41" s="3"/>
      <x:c r="I41" s="3"/>
      <x:c r="J41" s="3"/>
      <x:c r="K41" s="3"/>
      <x:c r="L41" s="3"/>
      <x:c r="M41" s="3"/>
      <x:c r="N41" s="3"/>
      <x:c r="O41" s="3"/>
      <x:c r="P41" s="3"/>
      <x:c r="Q41" s="3"/>
      <x:c r="R41" s="3"/>
    </x:row>
    <x:row r="42" ht="66" customHeight="1">
      <x:c r="A42" s="46" t="str">
        <x:v>R29</x:v>
      </x:c>
      <x:c r="B42" s="46" t="str">
        <x:v>Research</x:v>
      </x:c>
      <x:c r="C42" s="46" t="str">
        <x:v>Lean Enterprise Institute</x:v>
      </x:c>
      <x:c r="D42" s="46" t="str">
        <x:v>Error-Proofing</x:v>
      </x:c>
      <x:c r="E42" s="46" t="str">
        <x:v>https://www.lean.org/lexicon-terms/error-proofing/</x:v>
      </x:c>
      <x:c r="F42" s="46" t="str">
        <x:v>Preventing mistakes or making them immediately visible.</x:v>
      </x:c>
      <x:c r="G42" s="3"/>
      <x:c r="H42" s="3"/>
      <x:c r="I42" s="3"/>
      <x:c r="J42" s="3"/>
      <x:c r="K42" s="3"/>
      <x:c r="L42" s="3"/>
      <x:c r="M42" s="3"/>
      <x:c r="N42" s="3"/>
      <x:c r="O42" s="3"/>
      <x:c r="P42" s="3"/>
      <x:c r="Q42" s="3"/>
      <x:c r="R42" s="3"/>
    </x:row>
    <x:row r="43" ht="66" customHeight="1">
      <x:c r="A43" s="46" t="str">
        <x:v>R30</x:v>
      </x:c>
      <x:c r="B43" s="46" t="str">
        <x:v>Research</x:v>
      </x:c>
      <x:c r="C43" s="46" t="str">
        <x:v>Lean Enterprise Institute</x:v>
      </x:c>
      <x:c r="D43" s="46" t="str">
        <x:v>First In, First Out</x:v>
      </x:c>
      <x:c r="E43" s="46" t="str">
        <x:v>https://www.lean.org/lexicon-terms/first-in-first-out-fifo/</x:v>
      </x:c>
      <x:c r="F43" s="46" t="str">
        <x:v>Sequence and bounded lanes supporting pull.</x:v>
      </x:c>
      <x:c r="G43" s="3"/>
      <x:c r="H43" s="3"/>
      <x:c r="I43" s="3"/>
      <x:c r="J43" s="3"/>
      <x:c r="K43" s="3"/>
      <x:c r="L43" s="3"/>
      <x:c r="M43" s="3"/>
      <x:c r="N43" s="3"/>
      <x:c r="O43" s="3"/>
      <x:c r="P43" s="3"/>
      <x:c r="Q43" s="3"/>
      <x:c r="R43" s="3"/>
    </x:row>
    <x:row r="44" ht="66" customHeight="1">
      <x:c r="A44" s="46" t="str">
        <x:v>R31</x:v>
      </x:c>
      <x:c r="B44" s="46" t="str">
        <x:v>Research</x:v>
      </x:c>
      <x:c r="C44" s="46" t="str">
        <x:v>Lean Enterprise Institute</x:v>
      </x:c>
      <x:c r="D44" s="46" t="str">
        <x:v>Leader Standard Work</x:v>
      </x:c>
      <x:c r="E44" s="46" t="str">
        <x:v>https://www.lean.org/lexicon-terms/leader-standard-work/</x:v>
      </x:c>
      <x:c r="F44" s="46" t="str">
        <x:v>Leaders develop problem-solving capability and respond to abnormalities.</x:v>
      </x:c>
      <x:c r="G44" s="3"/>
      <x:c r="H44" s="3"/>
      <x:c r="I44" s="3"/>
      <x:c r="J44" s="3"/>
      <x:c r="K44" s="3"/>
      <x:c r="L44" s="3"/>
      <x:c r="M44" s="3"/>
      <x:c r="N44" s="3"/>
      <x:c r="O44" s="3"/>
      <x:c r="P44" s="3"/>
      <x:c r="Q44" s="3"/>
      <x:c r="R44" s="3"/>
    </x:row>
    <x:row r="45" ht="66" customHeight="1">
      <x:c r="A45" s="46" t="str">
        <x:v>R32</x:v>
      </x:c>
      <x:c r="B45" s="46" t="str">
        <x:v>Research</x:v>
      </x:c>
      <x:c r="C45" s="46" t="str">
        <x:v>Lean Enterprise Institute</x:v>
      </x:c>
      <x:c r="D45" s="46" t="str">
        <x:v>Strategy Deployment</x:v>
      </x:c>
      <x:c r="E45" s="46" t="str">
        <x:v>https://www.lean.org/lexicon-terms/strategy-deployment/</x:v>
      </x:c>
      <x:c r="F45" s="46" t="str">
        <x:v>Alignment, resource dialogue and review.</x:v>
      </x:c>
      <x:c r="G45" s="3"/>
      <x:c r="H45" s="3"/>
      <x:c r="I45" s="3"/>
      <x:c r="J45" s="3"/>
      <x:c r="K45" s="3"/>
      <x:c r="L45" s="3"/>
      <x:c r="M45" s="3"/>
      <x:c r="N45" s="3"/>
      <x:c r="O45" s="3"/>
      <x:c r="P45" s="3"/>
      <x:c r="Q45" s="3"/>
      <x:c r="R45" s="3"/>
    </x:row>
    <x:row r="46" ht="66" customHeight="1">
      <x:c r="A46" s="46" t="str">
        <x:v>R33</x:v>
      </x:c>
      <x:c r="B46" s="46" t="str">
        <x:v>Research</x:v>
      </x:c>
      <x:c r="C46" s="46" t="str">
        <x:v>Lean Enterprise Institute</x:v>
      </x:c>
      <x:c r="D46" s="46" t="str">
        <x:v>Kata</x:v>
      </x:c>
      <x:c r="E46" s="46" t="str">
        <x:v>https://www.lean.org/lexicon-terms/kata/</x:v>
      </x:c>
      <x:c r="F46" s="46" t="str">
        <x:v>Mike Rother improvement/coaching routines; original prompts used here.</x:v>
      </x:c>
      <x:c r="G46" s="3"/>
      <x:c r="H46" s="3"/>
      <x:c r="I46" s="3"/>
      <x:c r="J46" s="3"/>
      <x:c r="K46" s="3"/>
      <x:c r="L46" s="3"/>
      <x:c r="M46" s="3"/>
      <x:c r="N46" s="3"/>
      <x:c r="O46" s="3"/>
      <x:c r="P46" s="3"/>
      <x:c r="Q46" s="3"/>
      <x:c r="R46" s="3"/>
    </x:row>
    <x:row r="47" ht="66" customHeight="1">
      <x:c r="A47" s="46" t="str">
        <x:v>R34</x:v>
      </x:c>
      <x:c r="B47" s="46" t="str">
        <x:v>Research</x:v>
      </x:c>
      <x:c r="C47" s="46" t="str">
        <x:v>MIT OpenCourseWare</x:v>
      </x:c>
      <x:c r="D47" s="46" t="str">
        <x:v>Manufacturing System and Supply Chain Design: queueing note</x:v>
      </x:c>
      <x:c r="E47" s="46" t="str">
        <x:v>https://ocw.mit.edu/courses/15-763j-manufacturing-system-and-supply-chain-design-spring-2005/22f4805864deb06eee85acc1601463ba_queueing_note.pdf</x:v>
      </x:c>
      <x:c r="F47" s="46" t="str">
        <x:v>Little's Law and simplified queueing assumptions.</x:v>
      </x:c>
      <x:c r="G47" s="3"/>
      <x:c r="H47" s="3"/>
      <x:c r="I47" s="3"/>
      <x:c r="J47" s="3"/>
      <x:c r="K47" s="3"/>
      <x:c r="L47" s="3"/>
      <x:c r="M47" s="3"/>
      <x:c r="N47" s="3"/>
      <x:c r="O47" s="3"/>
      <x:c r="P47" s="3"/>
      <x:c r="Q47" s="3"/>
      <x:c r="R47" s="3"/>
    </x:row>
    <x:row r="48" ht="66" customHeight="1">
      <x:c r="A48" s="46" t="str">
        <x:v>R35</x:v>
      </x:c>
      <x:c r="B48" s="46" t="str">
        <x:v>Research</x:v>
      </x:c>
      <x:c r="C48" s="46" t="str">
        <x:v>Institute for Healthcare Improvement</x:v>
      </x:c>
      <x:c r="D48" s="46" t="str">
        <x:v>Implementing Changes</x:v>
      </x:c>
      <x:c r="E48" s="46" t="str">
        <x:v>https://www.ihi.org/library/model-for-improvement/implementing-changes</x:v>
      </x:c>
      <x:c r="F48" s="46" t="str">
        <x:v>Repeated testing under different conditions and operating infrastructure.</x:v>
      </x:c>
      <x:c r="G48" s="3"/>
      <x:c r="H48" s="3"/>
      <x:c r="I48" s="3"/>
      <x:c r="J48" s="3"/>
      <x:c r="K48" s="3"/>
      <x:c r="L48" s="3"/>
      <x:c r="M48" s="3"/>
      <x:c r="N48" s="3"/>
      <x:c r="O48" s="3"/>
      <x:c r="P48" s="3"/>
      <x:c r="Q48" s="3"/>
      <x:c r="R48" s="3"/>
    </x:row>
    <x:row r="49" ht="66" customHeight="1">
      <x:c r="A49" s="46" t="str">
        <x:v>R36</x:v>
      </x:c>
      <x:c r="B49" s="46" t="str">
        <x:v>Research</x:v>
      </x:c>
      <x:c r="C49" s="46" t="str">
        <x:v>Institute for Healthcare Improvement</x:v>
      </x:c>
      <x:c r="D49" s="46" t="str">
        <x:v>Spreading Changes</x:v>
      </x:c>
      <x:c r="E49" s="46" t="str">
        <x:v>https://www.ihi.org/library/model-for-improvement/spreading-changes</x:v>
      </x:c>
      <x:c r="F49" s="46" t="str">
        <x:v>Spread follows local learning and supported implementation.</x:v>
      </x:c>
      <x:c r="G49" s="3"/>
      <x:c r="H49" s="3"/>
      <x:c r="I49" s="3"/>
      <x:c r="J49" s="3"/>
      <x:c r="K49" s="3"/>
      <x:c r="L49" s="3"/>
      <x:c r="M49" s="3"/>
      <x:c r="N49" s="3"/>
      <x:c r="O49" s="3"/>
      <x:c r="P49" s="3"/>
      <x:c r="Q49" s="3"/>
      <x:c r="R49" s="3"/>
    </x:row>
    <x:row r="50" ht="66" customHeight="1">
      <x:c r="A50" s="46" t="str">
        <x:v>R37</x:v>
      </x:c>
      <x:c r="B50" s="46" t="str">
        <x:v>Research</x:v>
      </x:c>
      <x:c r="C50" s="46" t="str">
        <x:v>W. Edwards Deming Institute</x:v>
      </x:c>
      <x:c r="D50" s="46" t="str">
        <x:v>PDSA Cycle</x:v>
      </x:c>
      <x:c r="E50" s="46" t="str">
        <x:v>https://deming.org/explore/pdsa/</x:v>
      </x:c>
      <x:c r="F50" s="46" t="str">
        <x:v>Study emphasises learning; distinguish PDSA and PDCA usage.</x:v>
      </x:c>
      <x:c r="G50" s="3"/>
      <x:c r="H50" s="3"/>
      <x:c r="I50" s="3"/>
      <x:c r="J50" s="3"/>
      <x:c r="K50" s="3"/>
      <x:c r="L50" s="3"/>
      <x:c r="M50" s="3"/>
      <x:c r="N50" s="3"/>
      <x:c r="O50" s="3"/>
      <x:c r="P50" s="3"/>
      <x:c r="Q50" s="3"/>
      <x:c r="R50" s="3"/>
    </x:row>
    <x:row r="51" ht="66" customHeight="1">
      <x:c r="A51" s="46" t="str">
        <x:v>R38</x:v>
      </x:c>
      <x:c r="B51" s="46" t="str">
        <x:v>Research</x:v>
      </x:c>
      <x:c r="C51" s="46" t="str">
        <x:v>ASQ</x:v>
      </x:c>
      <x:c r="D51" s="46" t="str">
        <x:v>Five S Tutorial</x:v>
      </x:c>
      <x:c r="E51" s="46" t="str">
        <x:v>https://asq.org/quality-resources/five-s-tutorial</x:v>
      </x:c>
      <x:c r="F51" s="46" t="str">
        <x:v>Sort, set in order, shine, standardise and sustain.</x:v>
      </x:c>
      <x:c r="G51" s="3"/>
      <x:c r="H51" s="3"/>
      <x:c r="I51" s="3"/>
      <x:c r="J51" s="3"/>
      <x:c r="K51" s="3"/>
      <x:c r="L51" s="3"/>
      <x:c r="M51" s="3"/>
      <x:c r="N51" s="3"/>
      <x:c r="O51" s="3"/>
      <x:c r="P51" s="3"/>
      <x:c r="Q51" s="3"/>
      <x:c r="R51" s="3"/>
    </x:row>
    <x:row r="52" ht="66" customHeight="1">
      <x:c r="A52" s="46" t="str">
        <x:v>R39</x:v>
      </x:c>
      <x:c r="B52" s="46" t="str">
        <x:v>Research</x:v>
      </x:c>
      <x:c r="C52" s="46" t="str">
        <x:v>NIST/SEMATECH</x:v>
      </x:c>
      <x:c r="D52" s="46" t="str">
        <x:v>Gallery of Graphical Techniques</x:v>
      </x:c>
      <x:c r="E52" s="46" t="str">
        <x:v>https://www.itl.nist.gov/div898/handbook/graphgal.htm</x:v>
      </x:c>
      <x:c r="F52" s="46" t="str">
        <x:v>Histogram, scatter, time-series and exploratory graphics.</x:v>
      </x:c>
      <x:c r="G52" s="3"/>
      <x:c r="H52" s="3"/>
      <x:c r="I52" s="3"/>
      <x:c r="J52" s="3"/>
      <x:c r="K52" s="3"/>
      <x:c r="L52" s="3"/>
      <x:c r="M52" s="3"/>
      <x:c r="N52" s="3"/>
      <x:c r="O52" s="3"/>
      <x:c r="P52" s="3"/>
      <x:c r="Q52" s="3"/>
      <x:c r="R52" s="3"/>
    </x:row>
    <x:row r="53" ht="66" customHeight="1">
      <x:c r="A53" s="46" t="str">
        <x:v>R40</x:v>
      </x:c>
      <x:c r="B53" s="46" t="str">
        <x:v>Research</x:v>
      </x:c>
      <x:c r="C53" s="46" t="str">
        <x:v>Institute for Healthcare Improvement</x:v>
      </x:c>
      <x:c r="D53" s="46" t="str">
        <x:v>Quality Improvement Essentials Toolkit</x:v>
      </x:c>
      <x:c r="E53" s="46" t="str">
        <x:v>https://www.ihi.org/library/tools/quality-improvement-essentials-toolkit</x:v>
      </x:c>
      <x:c r="F53" s="46" t="str">
        <x:v>A practical toolkit architecture spanning improvement approaches.</x:v>
      </x:c>
      <x:c r="G53" s="3"/>
      <x:c r="H53" s="3"/>
      <x:c r="I53" s="3"/>
      <x:c r="J53" s="3"/>
      <x:c r="K53" s="3"/>
      <x:c r="L53" s="3"/>
      <x:c r="M53" s="3"/>
      <x:c r="N53" s="3"/>
      <x:c r="O53" s="3"/>
      <x:c r="P53" s="3"/>
      <x:c r="Q53" s="3"/>
      <x:c r="R53" s="3"/>
    </x:row>
    <x:row r="54" ht="66" customHeight="1">
      <x:c r="A54" s="46" t="str">
        <x:v>R41</x:v>
      </x:c>
      <x:c r="B54" s="46" t="str">
        <x:v>Research</x:v>
      </x:c>
      <x:c r="C54" s="46" t="str">
        <x:v>Institute for Healthcare Improvement</x:v>
      </x:c>
      <x:c r="D54" s="46" t="str">
        <x:v>Run Chart Rules Reference Sheet (2019)</x:v>
      </x:c>
      <x:c r="E54" s="46" t="str">
        <x:v>https://www.ihi.org/sites/default/files/lms/legacy/education/IHIOpenSchool/Courses/Documents/11_RunChartRulesReferenceSheet.pdf</x:v>
      </x:c>
      <x:c r="F54" s="46" t="str">
        <x:v>Shift and trend conventions depend on series length; median ties and equal values require explicit treatment.</x:v>
      </x:c>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s>
  <x:pageMargins left="0.7" right="0.7" top="0.75" bottom="0.75" header="0.3" footer="0.3"/>
</x:worksheet>
</file>

<file path=xl/worksheets/sheet7.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P01  Improvement charter</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Agree a worthwhile problem, a bounded assignment and the authority to test.</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P01</x:v>
      </x:c>
      <x:c r="B9" s="34"/>
      <x:c r="C9" s="34"/>
      <x:c r="D9" s="34"/>
      <x:c r="E9" s="34"/>
      <x:c r="F9" s="34"/>
      <x:c r="G9" s="34"/>
      <x:c r="H9" s="34"/>
      <x:c r="I9" s="34"/>
      <x:c r="J9" s="34"/>
      <x:c r="K9" s="34"/>
      <x:c r="L9" s="34"/>
      <x:c r="M9" s="3"/>
      <x:c r="N9" s="3"/>
      <x:c r="O9" s="3"/>
      <x:c r="P9" s="3"/>
      <x:c r="Q9" s="3"/>
      <x:c r="R9" s="3"/>
    </x:row>
    <x:row r="10" ht="20" customHeight="1">
      <x:c r="A10" s="40" t="str">
        <x:v>01  Purpose and evidence</x:v>
      </x:c>
      <x:c r="B10" s="40"/>
      <x:c r="C10" s="40"/>
      <x:c r="D10" s="17" t="str">
        <x:v>Describe the process problem and evidence reference.</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Scope and boundary</x:v>
      </x:c>
      <x:c r="B16" s="40"/>
      <x:c r="C16" s="40"/>
      <x:c r="D16" s="17" t="str">
        <x:v>State entry, completion, sites and exclusions.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Aim and guardrails</x:v>
      </x:c>
      <x:c r="B22" s="40"/>
      <x:c r="C22" s="40"/>
      <x:c r="D22" s="17" t="str">
        <x:v>State intended outcomes and what must not worsen.</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People and authority</x:v>
      </x:c>
      <x:c r="B28" s="40"/>
      <x:c r="C28" s="40"/>
      <x:c r="D28" s="17" t="str">
        <x:v>Name owners, participants and decision rights.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Resources and dependencies</x:v>
      </x:c>
      <x:c r="B34" s="40"/>
      <x:c r="C34" s="40"/>
      <x:c r="D34" s="17" t="str">
        <x:v>Record time, money, access and operating constraints.</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Review and escalation</x:v>
      </x:c>
      <x:c r="B40" s="40"/>
      <x:c r="C40" s="40"/>
      <x:c r="D40" s="17" t="str">
        <x:v>Record review date, stop conditions and next record.</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The charter does not replace local approval, employment consultation, privacy review or professional judgement. Do not call a mandated policy change a voluntary experiment. Stop and obtain the appropriate approval when a test crosses the agreed boundary.</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P02, P05, P12, P13  |  METHOD SOURCES: U01, R01</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8.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P02  Problem statement and measurable aim</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Separate the current performance gap from the future result you want.</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P02</x:v>
      </x:c>
      <x:c r="B9" s="34"/>
      <x:c r="C9" s="34"/>
      <x:c r="D9" s="34"/>
      <x:c r="E9" s="34"/>
      <x:c r="F9" s="34"/>
      <x:c r="G9" s="34"/>
      <x:c r="H9" s="34"/>
      <x:c r="I9" s="34"/>
      <x:c r="J9" s="34"/>
      <x:c r="K9" s="34"/>
      <x:c r="L9" s="34"/>
      <x:c r="M9" s="3"/>
      <x:c r="N9" s="3"/>
      <x:c r="O9" s="3"/>
      <x:c r="P9" s="3"/>
      <x:c r="Q9" s="3"/>
      <x:c r="R9" s="3"/>
    </x:row>
    <x:row r="10" ht="20" customHeight="1">
      <x:c r="A10" s="40" t="str">
        <x:v>01  Current gap</x:v>
      </x:c>
      <x:c r="B10" s="40"/>
      <x:c r="C10" s="40"/>
      <x:c r="D10" s="17" t="str">
        <x:v>Record what, where, when and how much.</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Why it matters</x:v>
      </x:c>
      <x:c r="B16" s="40"/>
      <x:c r="C16" s="40"/>
      <x:c r="D16" s="17" t="str">
        <x:v>Describe the user and organisational consequence.</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Population and boundary</x:v>
      </x:c>
      <x:c r="B22" s="40"/>
      <x:c r="C22" s="40"/>
      <x:c r="D22" s="17" t="str">
        <x:v>Define who is included and excluded.</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Measurable aim</x:v>
      </x:c>
      <x:c r="B28" s="40"/>
      <x:c r="C28" s="40"/>
      <x:c r="D28" s="17" t="str">
        <x:v>State the outcome, target and review horizon.</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Balancing conditions</x:v>
      </x:c>
      <x:c r="B34" s="40"/>
      <x:c r="C34" s="40"/>
      <x:c r="D34" s="17" t="str">
        <x:v>Define protected outcomes and limits.</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Acceptance of wording</x:v>
      </x:c>
      <x:c r="B40" s="40"/>
      <x:c r="C40" s="40"/>
      <x:c r="D40" s="17" t="str">
        <x:v>Record agreement and unresolved questions.</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A target is a choice, not a statistical control limit or a guarantee. Do not adopt an external benchmark without checking definitions and context. Keep a record when the aim changes; do not retrospectively move the target to fit a result.</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P06, P07, P13  |  METHOD SOURCES: U01, U04, R01</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9.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P03  Voice-of-user interview</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Understand the experience and the job the user needs the process to do.</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P03</x:v>
      </x:c>
      <x:c r="B9" s="34"/>
      <x:c r="C9" s="34"/>
      <x:c r="D9" s="34"/>
      <x:c r="E9" s="34"/>
      <x:c r="F9" s="34"/>
      <x:c r="G9" s="34"/>
      <x:c r="H9" s="34"/>
      <x:c r="I9" s="34"/>
      <x:c r="J9" s="34"/>
      <x:c r="K9" s="34"/>
      <x:c r="L9" s="34"/>
      <x:c r="M9" s="3"/>
      <x:c r="N9" s="3"/>
      <x:c r="O9" s="3"/>
      <x:c r="P9" s="3"/>
      <x:c r="Q9" s="3"/>
      <x:c r="R9" s="3"/>
    </x:row>
    <x:row r="10" ht="20" customHeight="1">
      <x:c r="A10" s="40" t="str">
        <x:v>01  Recruitment and context</x:v>
      </x:c>
      <x:c r="B10" s="40"/>
      <x:c r="C10" s="40"/>
      <x:c r="D10" s="17" t="str">
        <x:v>Note role, process experience and sampling rationale without identifiers.</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Consent and boundaries</x:v>
      </x:c>
      <x:c r="B16" s="40"/>
      <x:c r="C16" s="40"/>
      <x:c r="D16" s="17" t="str">
        <x:v>Record information given and note-taking agreement.</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Experience account</x:v>
      </x:c>
      <x:c r="B22" s="40"/>
      <x:c r="C22" s="40"/>
      <x:c r="D22" s="17" t="str">
        <x:v>Capture sequence, effort and concrete examples.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Value and requirements</x:v>
      </x:c>
      <x:c r="B28" s="40"/>
      <x:c r="C28" s="40"/>
      <x:c r="D28" s="17" t="str">
        <x:v>Record the outcome and what good service means.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Themes and contrary evidence</x:v>
      </x:c>
      <x:c r="B34" s="40"/>
      <x:c r="C34" s="40"/>
      <x:c r="D34" s="17" t="str">
        <x:v>Separate common themes, differences and exceptions.</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Next evidence and feedback</x:v>
      </x:c>
      <x:c r="B40" s="40"/>
      <x:c r="C40" s="40"/>
      <x:c r="D40" s="17" t="str">
        <x:v>State what will be checked and how users will hear back.</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Do not ask for sensitive documents to make an interview more vivid. Remove identifiers from notes and use approved storage. Participation must not affect service access. Report themes with sample context; never present five interviews as the voice of the whole workforce.</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V02, P04, D07  |  METHOD SOURCES: U01, U04, R03</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10.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P04  SIPOC and process boundary</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Agree the high-level suppliers, inputs, process, outputs and customers.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P04</x:v>
      </x:c>
      <x:c r="B9" s="34"/>
      <x:c r="C9" s="34"/>
      <x:c r="D9" s="34"/>
      <x:c r="E9" s="34"/>
      <x:c r="F9" s="34"/>
      <x:c r="G9" s="34"/>
      <x:c r="H9" s="34"/>
      <x:c r="I9" s="34"/>
      <x:c r="J9" s="34"/>
      <x:c r="K9" s="34"/>
      <x:c r="L9" s="34"/>
      <x:c r="M9" s="3"/>
      <x:c r="N9" s="3"/>
      <x:c r="O9" s="3"/>
      <x:c r="P9" s="3"/>
      <x:c r="Q9" s="3"/>
      <x:c r="R9" s="3"/>
    </x:row>
    <x:row r="10" ht="20" customHeight="1">
      <x:c r="A10" s="40" t="str">
        <x:v>01  Suppliers</x:v>
      </x:c>
      <x:c r="B10" s="40"/>
      <x:c r="C10" s="40"/>
      <x:c r="D10" s="17" t="str">
        <x:v>Identify who provides essential inputs.</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Inputs and requirements</x:v>
      </x:c>
      <x:c r="B16" s="40"/>
      <x:c r="C16" s="40"/>
      <x:c r="D16" s="17" t="str">
        <x:v>State the minimum information and quality needed.</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Process</x:v>
      </x:c>
      <x:c r="B22" s="40"/>
      <x:c r="C22" s="40"/>
      <x:c r="D22" s="17" t="str">
        <x:v>List five to seven high-level steps.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Outputs and customers</x:v>
      </x:c>
      <x:c r="B28" s="40"/>
      <x:c r="C28" s="40"/>
      <x:c r="D28" s="17" t="str">
        <x:v>Define what is delivered and to whom.</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Constraints and measures</x:v>
      </x:c>
      <x:c r="B34" s="40"/>
      <x:c r="C34" s="40"/>
      <x:c r="D34" s="17" t="str">
        <x:v>Record non-negotiables and the measures used.</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Boundary decisions</x:v>
      </x:c>
      <x:c r="B40" s="40"/>
      <x:c r="C40" s="40"/>
      <x:c r="D40" s="17" t="str">
        <x:v>Record exclusions, disagreements and owners.</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A SIPOC is a scoping view, not a value stream map or a measured process model. It cannot establish bottlenecks. Do not treat an internal department as the only customer when the employee or external recipient experiences the result.</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M01, M02, M03  |  METHOD SOURCES: U04, R11</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11.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P05  Stakeholder and involvement plan</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Involve the people who know, use, authorise and may be affected by the process.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P05</x:v>
      </x:c>
      <x:c r="B9" s="34"/>
      <x:c r="C9" s="34"/>
      <x:c r="D9" s="34"/>
      <x:c r="E9" s="34"/>
      <x:c r="F9" s="34"/>
      <x:c r="G9" s="34"/>
      <x:c r="H9" s="34"/>
      <x:c r="I9" s="34"/>
      <x:c r="J9" s="34"/>
      <x:c r="K9" s="34"/>
      <x:c r="L9" s="34"/>
      <x:c r="M9" s="3"/>
      <x:c r="N9" s="3"/>
      <x:c r="O9" s="3"/>
      <x:c r="P9" s="3"/>
      <x:c r="Q9" s="3"/>
      <x:c r="R9" s="3"/>
    </x:row>
    <x:row r="10" ht="20" customHeight="1">
      <x:c r="A10" s="40" t="str">
        <x:v>01  People affected</x:v>
      </x:c>
      <x:c r="B10" s="40"/>
      <x:c r="C10" s="40"/>
      <x:c r="D10" s="17" t="str">
        <x:v>List process roles, users and less visible groups.</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Impact and concerns</x:v>
      </x:c>
      <x:c r="B16" s="40"/>
      <x:c r="C16" s="40"/>
      <x:c r="D16" s="17" t="str">
        <x:v>Describe gains, burden and potential harm.</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Contribution and authority</x:v>
      </x:c>
      <x:c r="B22" s="40"/>
      <x:c r="C22" s="40"/>
      <x:c r="D22" s="17" t="str">
        <x:v>State what each group knows or decides.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Involvement method</x:v>
      </x:c>
      <x:c r="B28" s="40"/>
      <x:c r="C28" s="40"/>
      <x:c r="D28" s="17" t="str">
        <x:v>Specify practical opportunities to influence the work.</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Owner and timing</x:v>
      </x:c>
      <x:c r="B34" s="40"/>
      <x:c r="C34" s="40"/>
      <x:c r="D34" s="17" t="str">
        <x:v>Assign contact, frequency and feedback responsibilities.</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Review and response</x:v>
      </x:c>
      <x:c r="B40" s="40"/>
      <x:c r="C40" s="40"/>
      <x:c r="D40" s="17" t="str">
        <x:v>Record concerns, action and what changed.</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Do not label people as resistant because they raise a valid concern. Influence scores are planning judgements, not personality ratings. Keep named contact details out of broadly shared workbooks and avoid identifying small groups in results.</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P03, D02, A04  |  METHOD SOURCES: U01, R03</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4" t="str">
        <x:v>LIVE WORKING REGISTER | Add evidence, ownership and a review date.</x:v>
      </x:c>
      <x:c r="B53" s="34"/>
      <x:c r="C53" s="34"/>
      <x:c r="D53" s="34"/>
      <x:c r="E53" s="34"/>
      <x:c r="F53" s="34"/>
      <x:c r="G53" s="34"/>
      <x:c r="H53" s="34"/>
      <x:c r="I53" s="34"/>
      <x:c r="J53" s="34"/>
      <x:c r="K53" s="34"/>
      <x:c r="L53" s="34"/>
      <x:c r="M53" s="3"/>
      <x:c r="N53" s="3"/>
      <x:c r="O53" s="3"/>
      <x:c r="P53" s="3"/>
      <x:c r="Q53" s="3"/>
      <x:c r="R53" s="3"/>
    </x:row>
    <x:row r="54" ht="20" customHeight="1">
      <x:c r="A54" s="34"/>
      <x:c r="B54" s="34"/>
      <x:c r="C54" s="34"/>
      <x:c r="D54" s="34"/>
      <x:c r="E54" s="34"/>
      <x:c r="F54" s="34"/>
      <x:c r="G54" s="34"/>
      <x:c r="H54" s="34"/>
      <x:c r="I54" s="34"/>
      <x:c r="J54" s="34"/>
      <x:c r="K54" s="34"/>
      <x:c r="L54" s="34"/>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38" customHeight="1">
      <x:c r="A56" s="77" t="str">
        <x:v>Stakeholder/group</x:v>
      </x:c>
      <x:c r="B56" s="77" t="str">
        <x:v>Affected work/access</x:v>
      </x:c>
      <x:c r="C56" s="77" t="str">
        <x:v>Decision/input needed</x:v>
      </x:c>
      <x:c r="D56" s="77" t="str">
        <x:v>Contact owner</x:v>
      </x:c>
      <x:c r="E56" s="77" t="str">
        <x:v>Engagement method</x:v>
      </x:c>
      <x:c r="F56" s="77" t="str">
        <x:v>When</x:v>
      </x:c>
      <x:c r="G56" s="77" t="str">
        <x:v>Concern/evidence</x:v>
      </x:c>
      <x:c r="H56" s="77" t="str">
        <x:v>Response agreed</x:v>
      </x:c>
      <x:c r="I56" s="3"/>
      <x:c r="J56" s="3"/>
      <x:c r="K56" s="3"/>
      <x:c r="L56" s="3"/>
      <x:c r="M56" s="3"/>
      <x:c r="N56" s="3"/>
      <x:c r="O56" s="3"/>
      <x:c r="P56" s="3"/>
      <x:c r="Q56" s="3"/>
      <x:c r="R56" s="3"/>
    </x:row>
    <x:row r="57" ht="34" customHeight="1">
      <x:c r="A57" s="46"/>
      <x:c r="B57" s="46"/>
      <x:c r="C57" s="46"/>
      <x:c r="D57" s="46"/>
      <x:c r="E57" s="46"/>
      <x:c r="F57" s="46"/>
      <x:c r="G57" s="46"/>
      <x:c r="H57" s="46"/>
      <x:c r="I57" s="3"/>
      <x:c r="J57" s="3"/>
      <x:c r="K57" s="3"/>
      <x:c r="L57" s="3"/>
      <x:c r="M57" s="3"/>
      <x:c r="N57" s="3"/>
      <x:c r="O57" s="3"/>
      <x:c r="P57" s="3"/>
      <x:c r="Q57" s="3"/>
      <x:c r="R57" s="3"/>
    </x:row>
    <x:row r="58" ht="34" customHeight="1">
      <x:c r="A58" s="46"/>
      <x:c r="B58" s="46"/>
      <x:c r="C58" s="46"/>
      <x:c r="D58" s="46"/>
      <x:c r="E58" s="46"/>
      <x:c r="F58" s="46"/>
      <x:c r="G58" s="46"/>
      <x:c r="H58" s="46"/>
      <x:c r="I58" s="3"/>
      <x:c r="J58" s="3"/>
      <x:c r="K58" s="3"/>
      <x:c r="L58" s="3"/>
      <x:c r="M58" s="3"/>
      <x:c r="N58" s="3"/>
      <x:c r="O58" s="3"/>
      <x:c r="P58" s="3"/>
      <x:c r="Q58" s="3"/>
      <x:c r="R58" s="3"/>
    </x:row>
    <x:row r="59" ht="34" customHeight="1">
      <x:c r="A59" s="46"/>
      <x:c r="B59" s="46"/>
      <x:c r="C59" s="46"/>
      <x:c r="D59" s="46"/>
      <x:c r="E59" s="46"/>
      <x:c r="F59" s="46"/>
      <x:c r="G59" s="46"/>
      <x:c r="H59" s="46"/>
      <x:c r="I59" s="3"/>
      <x:c r="J59" s="3"/>
      <x:c r="K59" s="3"/>
      <x:c r="L59" s="3"/>
      <x:c r="M59" s="3"/>
      <x:c r="N59" s="3"/>
      <x:c r="O59" s="3"/>
      <x:c r="P59" s="3"/>
      <x:c r="Q59" s="3"/>
      <x:c r="R59" s="3"/>
    </x:row>
    <x:row r="60" ht="34" customHeight="1">
      <x:c r="A60" s="46"/>
      <x:c r="B60" s="46"/>
      <x:c r="C60" s="46"/>
      <x:c r="D60" s="46"/>
      <x:c r="E60" s="46"/>
      <x:c r="F60" s="46"/>
      <x:c r="G60" s="46"/>
      <x:c r="H60" s="46"/>
      <x:c r="I60" s="3"/>
      <x:c r="J60" s="3"/>
      <x:c r="K60" s="3"/>
      <x:c r="L60" s="3"/>
      <x:c r="M60" s="3"/>
      <x:c r="N60" s="3"/>
      <x:c r="O60" s="3"/>
      <x:c r="P60" s="3"/>
      <x:c r="Q60" s="3"/>
      <x:c r="R60" s="3"/>
    </x:row>
    <x:row r="61" ht="34" customHeight="1">
      <x:c r="A61" s="46"/>
      <x:c r="B61" s="46"/>
      <x:c r="C61" s="46"/>
      <x:c r="D61" s="46"/>
      <x:c r="E61" s="46"/>
      <x:c r="F61" s="46"/>
      <x:c r="G61" s="46"/>
      <x:c r="H61" s="46"/>
      <x:c r="I61" s="3"/>
      <x:c r="J61" s="3"/>
      <x:c r="K61" s="3"/>
      <x:c r="L61" s="3"/>
      <x:c r="M61" s="3"/>
      <x:c r="N61" s="3"/>
      <x:c r="O61" s="3"/>
      <x:c r="P61" s="3"/>
      <x:c r="Q61" s="3"/>
      <x:c r="R61" s="3"/>
    </x:row>
    <x:row r="62" ht="34" customHeight="1">
      <x:c r="A62" s="46"/>
      <x:c r="B62" s="46"/>
      <x:c r="C62" s="46"/>
      <x:c r="D62" s="46"/>
      <x:c r="E62" s="46"/>
      <x:c r="F62" s="46"/>
      <x:c r="G62" s="46"/>
      <x:c r="H62" s="46"/>
      <x:c r="I62" s="3"/>
      <x:c r="J62" s="3"/>
      <x:c r="K62" s="3"/>
      <x:c r="L62" s="3"/>
      <x:c r="M62" s="3"/>
      <x:c r="N62" s="3"/>
      <x:c r="O62" s="3"/>
      <x:c r="P62" s="3"/>
      <x:c r="Q62" s="3"/>
      <x:c r="R62" s="3"/>
    </x:row>
    <x:row r="63" ht="34" customHeight="1">
      <x:c r="A63" s="46"/>
      <x:c r="B63" s="46"/>
      <x:c r="C63" s="46"/>
      <x:c r="D63" s="46"/>
      <x:c r="E63" s="46"/>
      <x:c r="F63" s="46"/>
      <x:c r="G63" s="46"/>
      <x:c r="H63" s="46"/>
      <x:c r="I63" s="3"/>
      <x:c r="J63" s="3"/>
      <x:c r="K63" s="3"/>
      <x:c r="L63" s="3"/>
      <x:c r="M63" s="3"/>
      <x:c r="N63" s="3"/>
      <x:c r="O63" s="3"/>
      <x:c r="P63" s="3"/>
      <x:c r="Q63" s="3"/>
      <x:c r="R63" s="3"/>
    </x:row>
    <x:row r="64" ht="34" customHeight="1">
      <x:c r="A64" s="46"/>
      <x:c r="B64" s="46"/>
      <x:c r="C64" s="46"/>
      <x:c r="D64" s="46"/>
      <x:c r="E64" s="46"/>
      <x:c r="F64" s="46"/>
      <x:c r="G64" s="46"/>
      <x:c r="H64" s="46"/>
      <x:c r="I64" s="3"/>
      <x:c r="J64" s="3"/>
      <x:c r="K64" s="3"/>
      <x:c r="L64" s="3"/>
      <x:c r="M64" s="3"/>
      <x:c r="N64" s="3"/>
      <x:c r="O64" s="3"/>
      <x:c r="P64" s="3"/>
      <x:c r="Q64" s="3"/>
      <x:c r="R64" s="3"/>
    </x:row>
    <x:row r="65" ht="34" customHeight="1">
      <x:c r="A65" s="46"/>
      <x:c r="B65" s="46"/>
      <x:c r="C65" s="46"/>
      <x:c r="D65" s="46"/>
      <x:c r="E65" s="46"/>
      <x:c r="F65" s="46"/>
      <x:c r="G65" s="46"/>
      <x:c r="H65" s="46"/>
      <x:c r="I65" s="3"/>
      <x:c r="J65" s="3"/>
      <x:c r="K65" s="3"/>
      <x:c r="L65" s="3"/>
      <x:c r="M65" s="3"/>
      <x:c r="N65" s="3"/>
      <x:c r="O65" s="3"/>
      <x:c r="P65" s="3"/>
      <x:c r="Q65" s="3"/>
      <x:c r="R65" s="3"/>
    </x:row>
    <x:row r="66" ht="34" customHeight="1">
      <x:c r="A66" s="46"/>
      <x:c r="B66" s="46"/>
      <x:c r="C66" s="46"/>
      <x:c r="D66" s="46"/>
      <x:c r="E66" s="46"/>
      <x:c r="F66" s="46"/>
      <x:c r="G66" s="46"/>
      <x:c r="H66" s="46"/>
      <x:c r="I66" s="3"/>
      <x:c r="J66" s="3"/>
      <x:c r="K66" s="3"/>
      <x:c r="L66" s="3"/>
      <x:c r="M66" s="3"/>
      <x:c r="N66" s="3"/>
      <x:c r="O66" s="3"/>
      <x:c r="P66" s="3"/>
      <x:c r="Q66" s="3"/>
      <x:c r="R66" s="3"/>
    </x:row>
    <x:row r="67" ht="34" customHeight="1">
      <x:c r="A67" s="46"/>
      <x:c r="B67" s="46"/>
      <x:c r="C67" s="46"/>
      <x:c r="D67" s="46"/>
      <x:c r="E67" s="46"/>
      <x:c r="F67" s="46"/>
      <x:c r="G67" s="46"/>
      <x:c r="H67" s="46"/>
      <x:c r="I67" s="3"/>
      <x:c r="J67" s="3"/>
      <x:c r="K67" s="3"/>
      <x:c r="L67" s="3"/>
      <x:c r="M67" s="3"/>
      <x:c r="N67" s="3"/>
      <x:c r="O67" s="3"/>
      <x:c r="P67" s="3"/>
      <x:c r="Q67" s="3"/>
      <x:c r="R67" s="3"/>
    </x:row>
    <x:row r="68" ht="34" customHeight="1">
      <x:c r="A68" s="46"/>
      <x:c r="B68" s="46"/>
      <x:c r="C68" s="46"/>
      <x:c r="D68" s="46"/>
      <x:c r="E68" s="46"/>
      <x:c r="F68" s="46"/>
      <x:c r="G68" s="46"/>
      <x:c r="H68" s="46"/>
      <x:c r="I68" s="3"/>
      <x:c r="J68" s="3"/>
      <x:c r="K68" s="3"/>
      <x:c r="L68" s="3"/>
      <x:c r="M68" s="3"/>
      <x:c r="N68" s="3"/>
      <x:c r="O68" s="3"/>
      <x:c r="P68" s="3"/>
      <x:c r="Q68" s="3"/>
      <x:c r="R68" s="3"/>
    </x:row>
    <x:row r="69" ht="34" customHeight="1">
      <x:c r="A69" s="46"/>
      <x:c r="B69" s="46"/>
      <x:c r="C69" s="46"/>
      <x:c r="D69" s="46"/>
      <x:c r="E69" s="46"/>
      <x:c r="F69" s="46"/>
      <x:c r="G69" s="46"/>
      <x:c r="H69" s="46"/>
      <x:c r="I69" s="3"/>
      <x:c r="J69" s="3"/>
      <x:c r="K69" s="3"/>
      <x:c r="L69" s="3"/>
      <x:c r="M69" s="3"/>
      <x:c r="N69" s="3"/>
      <x:c r="O69" s="3"/>
      <x:c r="P69" s="3"/>
      <x:c r="Q69" s="3"/>
      <x:c r="R69" s="3"/>
    </x:row>
    <x:row r="70" ht="34" customHeight="1">
      <x:c r="A70" s="46"/>
      <x:c r="B70" s="46"/>
      <x:c r="C70" s="46"/>
      <x:c r="D70" s="46"/>
      <x:c r="E70" s="46"/>
      <x:c r="F70" s="46"/>
      <x:c r="G70" s="46"/>
      <x:c r="H70" s="46"/>
      <x:c r="I70" s="3"/>
      <x:c r="J70" s="3"/>
      <x:c r="K70" s="3"/>
      <x:c r="L70" s="3"/>
      <x:c r="M70" s="3"/>
      <x:c r="N70" s="3"/>
      <x:c r="O70" s="3"/>
      <x:c r="P70" s="3"/>
      <x:c r="Q70" s="3"/>
      <x:c r="R70" s="3"/>
    </x:row>
    <x:row r="71" ht="34" customHeight="1">
      <x:c r="A71" s="46"/>
      <x:c r="B71" s="46"/>
      <x:c r="C71" s="46"/>
      <x:c r="D71" s="46"/>
      <x:c r="E71" s="46"/>
      <x:c r="F71" s="46"/>
      <x:c r="G71" s="46"/>
      <x:c r="H71" s="46"/>
      <x:c r="I71" s="3"/>
      <x:c r="J71" s="3"/>
      <x:c r="K71" s="3"/>
      <x:c r="L71" s="3"/>
      <x:c r="M71" s="3"/>
      <x:c r="N71" s="3"/>
      <x:c r="O71" s="3"/>
      <x:c r="P71" s="3"/>
      <x:c r="Q71" s="3"/>
      <x:c r="R71" s="3"/>
    </x:row>
    <x:row r="72" ht="34" customHeight="1">
      <x:c r="A72" s="46"/>
      <x:c r="B72" s="46"/>
      <x:c r="C72" s="46"/>
      <x:c r="D72" s="46"/>
      <x:c r="E72" s="46"/>
      <x:c r="F72" s="46"/>
      <x:c r="G72" s="46"/>
      <x:c r="H72" s="46"/>
      <x:c r="I72" s="3"/>
      <x:c r="J72" s="3"/>
      <x:c r="K72" s="3"/>
      <x:c r="L72" s="3"/>
      <x:c r="M72" s="3"/>
      <x:c r="N72" s="3"/>
      <x:c r="O72" s="3"/>
      <x:c r="P72" s="3"/>
      <x:c r="Q72" s="3"/>
      <x:c r="R72" s="3"/>
    </x:row>
    <x:row r="73" ht="34" customHeight="1">
      <x:c r="A73" s="46"/>
      <x:c r="B73" s="46"/>
      <x:c r="C73" s="46"/>
      <x:c r="D73" s="46"/>
      <x:c r="E73" s="46"/>
      <x:c r="F73" s="46"/>
      <x:c r="G73" s="46"/>
      <x:c r="H73" s="46"/>
      <x:c r="I73" s="3"/>
      <x:c r="J73" s="3"/>
      <x:c r="K73" s="3"/>
      <x:c r="L73" s="3"/>
      <x:c r="M73" s="3"/>
      <x:c r="N73" s="3"/>
      <x:c r="O73" s="3"/>
      <x:c r="P73" s="3"/>
      <x:c r="Q73" s="3"/>
      <x:c r="R73" s="3"/>
    </x:row>
    <x:row r="74" ht="34" customHeight="1">
      <x:c r="A74" s="46"/>
      <x:c r="B74" s="46"/>
      <x:c r="C74" s="46"/>
      <x:c r="D74" s="46"/>
      <x:c r="E74" s="46"/>
      <x:c r="F74" s="46"/>
      <x:c r="G74" s="46"/>
      <x:c r="H74" s="46"/>
      <x:c r="I74" s="3"/>
      <x:c r="J74" s="3"/>
      <x:c r="K74" s="3"/>
      <x:c r="L74" s="3"/>
      <x:c r="M74" s="3"/>
      <x:c r="N74" s="3"/>
      <x:c r="O74" s="3"/>
      <x:c r="P74" s="3"/>
      <x:c r="Q74" s="3"/>
      <x:c r="R74" s="3"/>
    </x:row>
    <x:row r="75" ht="34" customHeight="1">
      <x:c r="A75" s="46"/>
      <x:c r="B75" s="46"/>
      <x:c r="C75" s="46"/>
      <x:c r="D75" s="46"/>
      <x:c r="E75" s="46"/>
      <x:c r="F75" s="46"/>
      <x:c r="G75" s="46"/>
      <x:c r="H75" s="46"/>
      <x:c r="I75" s="3"/>
      <x:c r="J75" s="3"/>
      <x:c r="K75" s="3"/>
      <x:c r="L75" s="3"/>
      <x:c r="M75" s="3"/>
      <x:c r="N75" s="3"/>
      <x:c r="O75" s="3"/>
      <x:c r="P75" s="3"/>
      <x:c r="Q75" s="3"/>
      <x:c r="R75" s="3"/>
    </x:row>
    <x:row r="76" ht="34" customHeight="1">
      <x:c r="A76" s="46"/>
      <x:c r="B76" s="46"/>
      <x:c r="C76" s="46"/>
      <x:c r="D76" s="46"/>
      <x:c r="E76" s="46"/>
      <x:c r="F76" s="46"/>
      <x:c r="G76" s="46"/>
      <x:c r="H76" s="46"/>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136" t="str">
        <x:v>Record facts separately from hypotheses. A populated row is not approval: keep the decision authority and supporting evidence explicit. Review access controls before entering identifiable or sensitive information.</x:v>
      </x:c>
      <x:c r="B79" s="136"/>
      <x:c r="C79" s="136"/>
      <x:c r="D79" s="136"/>
      <x:c r="E79" s="136"/>
      <x:c r="F79" s="136"/>
      <x:c r="G79" s="136"/>
      <x:c r="H79" s="136"/>
      <x:c r="I79" s="136"/>
      <x:c r="J79" s="136"/>
      <x:c r="K79" s="136"/>
      <x:c r="L79" s="136"/>
      <x:c r="M79" s="3"/>
      <x:c r="N79" s="3"/>
      <x:c r="O79" s="3"/>
      <x:c r="P79" s="3"/>
      <x:c r="Q79" s="3"/>
      <x:c r="R79" s="3"/>
    </x:row>
    <x:row r="80" ht="20" customHeight="1">
      <x:c r="A80" s="136"/>
      <x:c r="B80" s="136"/>
      <x:c r="C80" s="136"/>
      <x:c r="D80" s="136"/>
      <x:c r="E80" s="136"/>
      <x:c r="F80" s="136"/>
      <x:c r="G80" s="136"/>
      <x:c r="H80" s="136"/>
      <x:c r="I80" s="136"/>
      <x:c r="J80" s="136"/>
      <x:c r="K80" s="136"/>
      <x:c r="L80" s="136"/>
      <x:c r="M80" s="3"/>
      <x:c r="N80" s="3"/>
      <x:c r="O80" s="3"/>
      <x:c r="P80" s="3"/>
      <x:c r="Q80" s="3"/>
      <x:c r="R80" s="3"/>
    </x:row>
    <x:row r="81" ht="20" customHeight="1">
      <x:c r="A81" s="136"/>
      <x:c r="B81" s="136"/>
      <x:c r="C81" s="136"/>
      <x:c r="D81" s="136"/>
      <x:c r="E81" s="136"/>
      <x:c r="F81" s="136"/>
      <x:c r="G81" s="136"/>
      <x:c r="H81" s="136"/>
      <x:c r="I81" s="136"/>
      <x:c r="J81" s="136"/>
      <x:c r="K81" s="136"/>
      <x:c r="L81" s="136"/>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 ref="A53:L54"/>
    <x:mergeCell ref="A79:L81"/>
  </x:mergeCells>
  <x:pageMargins left="0.7" right="0.7" top="0.75" bottom="0.75" header="0.3" footer="0.3"/>
</x:worksheet>
</file>

<file path=xl/worksheets/sheet12.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P06  Measure definition and data dictionary</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Make every measure reproducible before collecting the results.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P06</x:v>
      </x:c>
      <x:c r="B9" s="34"/>
      <x:c r="C9" s="34"/>
      <x:c r="D9" s="34"/>
      <x:c r="E9" s="34"/>
      <x:c r="F9" s="34"/>
      <x:c r="G9" s="34"/>
      <x:c r="H9" s="34"/>
      <x:c r="I9" s="34"/>
      <x:c r="J9" s="34"/>
      <x:c r="K9" s="34"/>
      <x:c r="L9" s="34"/>
      <x:c r="M9" s="3"/>
      <x:c r="N9" s="3"/>
      <x:c r="O9" s="3"/>
      <x:c r="P9" s="3"/>
      <x:c r="Q9" s="3"/>
      <x:c r="R9" s="3"/>
    </x:row>
    <x:row r="10" ht="20" customHeight="1">
      <x:c r="A10" s="40" t="str">
        <x:v>01  Outcome definition</x:v>
      </x:c>
      <x:c r="B10" s="40"/>
      <x:c r="C10" s="40"/>
      <x:c r="D10" s="17" t="str">
        <x:v>State beneficiary, event, unit and direction.</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Process definition</x:v>
      </x:c>
      <x:c r="B16" s="40"/>
      <x:c r="C16" s="40"/>
      <x:c r="D16" s="17" t="str">
        <x:v>Define the step or quality behaviour being tested.</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Balancing definition</x:v>
      </x:c>
      <x:c r="B22" s="40"/>
      <x:c r="C22" s="40"/>
      <x:c r="D22" s="17" t="str">
        <x:v>Specify burden, access, quality or safety checks.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Population and exclusions</x:v>
      </x:c>
      <x:c r="B28" s="40"/>
      <x:c r="C28" s="40"/>
      <x:c r="D28" s="17" t="str">
        <x:v>Record denominator and exception treatment.</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Source and collection</x:v>
      </x:c>
      <x:c r="B34" s="40"/>
      <x:c r="C34" s="40"/>
      <x:c r="D34" s="17" t="str">
        <x:v>Specify field, owner, frequency and storage.</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Quality and version</x:v>
      </x:c>
      <x:c r="B40" s="40"/>
      <x:c r="C40" s="40"/>
      <x:c r="D40" s="17" t="str">
        <x:v>Test reproducibility and approve the definition.</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Do not count missing results as zero or exclude difficult requests to improve the score. Never average percentages from unequal groups without weighting by valid denominators. A target must remain separate from a statistical baseline or control limit.</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P07, D04, S02  |  METHOD SOURCES: U01, U02, R03</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4" t="str">
        <x:v>LIVE WORKING REGISTER | Add evidence, ownership and a review date.</x:v>
      </x:c>
      <x:c r="B53" s="34"/>
      <x:c r="C53" s="34"/>
      <x:c r="D53" s="34"/>
      <x:c r="E53" s="34"/>
      <x:c r="F53" s="34"/>
      <x:c r="G53" s="34"/>
      <x:c r="H53" s="34"/>
      <x:c r="I53" s="34"/>
      <x:c r="J53" s="34"/>
      <x:c r="K53" s="34"/>
      <x:c r="L53" s="34"/>
      <x:c r="M53" s="3"/>
      <x:c r="N53" s="3"/>
      <x:c r="O53" s="3"/>
      <x:c r="P53" s="3"/>
      <x:c r="Q53" s="3"/>
      <x:c r="R53" s="3"/>
    </x:row>
    <x:row r="54" ht="20" customHeight="1">
      <x:c r="A54" s="34"/>
      <x:c r="B54" s="34"/>
      <x:c r="C54" s="34"/>
      <x:c r="D54" s="34"/>
      <x:c r="E54" s="34"/>
      <x:c r="F54" s="34"/>
      <x:c r="G54" s="34"/>
      <x:c r="H54" s="34"/>
      <x:c r="I54" s="34"/>
      <x:c r="J54" s="34"/>
      <x:c r="K54" s="34"/>
      <x:c r="L54" s="34"/>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38" customHeight="1">
      <x:c r="A56" s="77" t="str">
        <x:v>Measure ID</x:v>
      </x:c>
      <x:c r="B56" s="77" t="str">
        <x:v>Type (outcome/process/balancing)</x:v>
      </x:c>
      <x:c r="C56" s="77" t="str">
        <x:v>Operational definition</x:v>
      </x:c>
      <x:c r="D56" s="77" t="str">
        <x:v>Numerator</x:v>
      </x:c>
      <x:c r="E56" s="77" t="str">
        <x:v>Denominator/unit</x:v>
      </x:c>
      <x:c r="F56" s="77" t="str">
        <x:v>Source and boundary</x:v>
      </x:c>
      <x:c r="G56" s="77" t="str">
        <x:v>Frequency</x:v>
      </x:c>
      <x:c r="H56" s="77" t="str">
        <x:v>Owner</x:v>
      </x:c>
      <x:c r="I56" s="77" t="str">
        <x:v>Decision trigger</x:v>
      </x:c>
      <x:c r="J56" s="3"/>
      <x:c r="K56" s="3"/>
      <x:c r="L56" s="3"/>
      <x:c r="M56" s="3"/>
      <x:c r="N56" s="3"/>
      <x:c r="O56" s="3"/>
      <x:c r="P56" s="3"/>
      <x:c r="Q56" s="3"/>
      <x:c r="R56" s="3"/>
    </x:row>
    <x:row r="57" ht="34" customHeight="1">
      <x:c r="A57" s="46"/>
      <x:c r="B57" s="46"/>
      <x:c r="C57" s="46"/>
      <x:c r="D57" s="46"/>
      <x:c r="E57" s="46"/>
      <x:c r="F57" s="46"/>
      <x:c r="G57" s="46"/>
      <x:c r="H57" s="46"/>
      <x:c r="I57" s="46"/>
      <x:c r="J57" s="3"/>
      <x:c r="K57" s="3"/>
      <x:c r="L57" s="3"/>
      <x:c r="M57" s="3"/>
      <x:c r="N57" s="3"/>
      <x:c r="O57" s="3"/>
      <x:c r="P57" s="3"/>
      <x:c r="Q57" s="3"/>
      <x:c r="R57" s="3"/>
    </x:row>
    <x:row r="58" ht="34" customHeight="1">
      <x:c r="A58" s="46"/>
      <x:c r="B58" s="46"/>
      <x:c r="C58" s="46"/>
      <x:c r="D58" s="46"/>
      <x:c r="E58" s="46"/>
      <x:c r="F58" s="46"/>
      <x:c r="G58" s="46"/>
      <x:c r="H58" s="46"/>
      <x:c r="I58" s="46"/>
      <x:c r="J58" s="3"/>
      <x:c r="K58" s="3"/>
      <x:c r="L58" s="3"/>
      <x:c r="M58" s="3"/>
      <x:c r="N58" s="3"/>
      <x:c r="O58" s="3"/>
      <x:c r="P58" s="3"/>
      <x:c r="Q58" s="3"/>
      <x:c r="R58" s="3"/>
    </x:row>
    <x:row r="59" ht="34" customHeight="1">
      <x:c r="A59" s="46"/>
      <x:c r="B59" s="46"/>
      <x:c r="C59" s="46"/>
      <x:c r="D59" s="46"/>
      <x:c r="E59" s="46"/>
      <x:c r="F59" s="46"/>
      <x:c r="G59" s="46"/>
      <x:c r="H59" s="46"/>
      <x:c r="I59" s="46"/>
      <x:c r="J59" s="3"/>
      <x:c r="K59" s="3"/>
      <x:c r="L59" s="3"/>
      <x:c r="M59" s="3"/>
      <x:c r="N59" s="3"/>
      <x:c r="O59" s="3"/>
      <x:c r="P59" s="3"/>
      <x:c r="Q59" s="3"/>
      <x:c r="R59" s="3"/>
    </x:row>
    <x:row r="60" ht="34" customHeight="1">
      <x:c r="A60" s="46"/>
      <x:c r="B60" s="46"/>
      <x:c r="C60" s="46"/>
      <x:c r="D60" s="46"/>
      <x:c r="E60" s="46"/>
      <x:c r="F60" s="46"/>
      <x:c r="G60" s="46"/>
      <x:c r="H60" s="46"/>
      <x:c r="I60" s="46"/>
      <x:c r="J60" s="3"/>
      <x:c r="K60" s="3"/>
      <x:c r="L60" s="3"/>
      <x:c r="M60" s="3"/>
      <x:c r="N60" s="3"/>
      <x:c r="O60" s="3"/>
      <x:c r="P60" s="3"/>
      <x:c r="Q60" s="3"/>
      <x:c r="R60" s="3"/>
    </x:row>
    <x:row r="61" ht="34" customHeight="1">
      <x:c r="A61" s="46"/>
      <x:c r="B61" s="46"/>
      <x:c r="C61" s="46"/>
      <x:c r="D61" s="46"/>
      <x:c r="E61" s="46"/>
      <x:c r="F61" s="46"/>
      <x:c r="G61" s="46"/>
      <x:c r="H61" s="46"/>
      <x:c r="I61" s="46"/>
      <x:c r="J61" s="3"/>
      <x:c r="K61" s="3"/>
      <x:c r="L61" s="3"/>
      <x:c r="M61" s="3"/>
      <x:c r="N61" s="3"/>
      <x:c r="O61" s="3"/>
      <x:c r="P61" s="3"/>
      <x:c r="Q61" s="3"/>
      <x:c r="R61" s="3"/>
    </x:row>
    <x:row r="62" ht="34" customHeight="1">
      <x:c r="A62" s="46"/>
      <x:c r="B62" s="46"/>
      <x:c r="C62" s="46"/>
      <x:c r="D62" s="46"/>
      <x:c r="E62" s="46"/>
      <x:c r="F62" s="46"/>
      <x:c r="G62" s="46"/>
      <x:c r="H62" s="46"/>
      <x:c r="I62" s="46"/>
      <x:c r="J62" s="3"/>
      <x:c r="K62" s="3"/>
      <x:c r="L62" s="3"/>
      <x:c r="M62" s="3"/>
      <x:c r="N62" s="3"/>
      <x:c r="O62" s="3"/>
      <x:c r="P62" s="3"/>
      <x:c r="Q62" s="3"/>
      <x:c r="R62" s="3"/>
    </x:row>
    <x:row r="63" ht="34" customHeight="1">
      <x:c r="A63" s="46"/>
      <x:c r="B63" s="46"/>
      <x:c r="C63" s="46"/>
      <x:c r="D63" s="46"/>
      <x:c r="E63" s="46"/>
      <x:c r="F63" s="46"/>
      <x:c r="G63" s="46"/>
      <x:c r="H63" s="46"/>
      <x:c r="I63" s="46"/>
      <x:c r="J63" s="3"/>
      <x:c r="K63" s="3"/>
      <x:c r="L63" s="3"/>
      <x:c r="M63" s="3"/>
      <x:c r="N63" s="3"/>
      <x:c r="O63" s="3"/>
      <x:c r="P63" s="3"/>
      <x:c r="Q63" s="3"/>
      <x:c r="R63" s="3"/>
    </x:row>
    <x:row r="64" ht="34" customHeight="1">
      <x:c r="A64" s="46"/>
      <x:c r="B64" s="46"/>
      <x:c r="C64" s="46"/>
      <x:c r="D64" s="46"/>
      <x:c r="E64" s="46"/>
      <x:c r="F64" s="46"/>
      <x:c r="G64" s="46"/>
      <x:c r="H64" s="46"/>
      <x:c r="I64" s="46"/>
      <x:c r="J64" s="3"/>
      <x:c r="K64" s="3"/>
      <x:c r="L64" s="3"/>
      <x:c r="M64" s="3"/>
      <x:c r="N64" s="3"/>
      <x:c r="O64" s="3"/>
      <x:c r="P64" s="3"/>
      <x:c r="Q64" s="3"/>
      <x:c r="R64" s="3"/>
    </x:row>
    <x:row r="65" ht="34" customHeight="1">
      <x:c r="A65" s="46"/>
      <x:c r="B65" s="46"/>
      <x:c r="C65" s="46"/>
      <x:c r="D65" s="46"/>
      <x:c r="E65" s="46"/>
      <x:c r="F65" s="46"/>
      <x:c r="G65" s="46"/>
      <x:c r="H65" s="46"/>
      <x:c r="I65" s="46"/>
      <x:c r="J65" s="3"/>
      <x:c r="K65" s="3"/>
      <x:c r="L65" s="3"/>
      <x:c r="M65" s="3"/>
      <x:c r="N65" s="3"/>
      <x:c r="O65" s="3"/>
      <x:c r="P65" s="3"/>
      <x:c r="Q65" s="3"/>
      <x:c r="R65" s="3"/>
    </x:row>
    <x:row r="66" ht="34" customHeight="1">
      <x:c r="A66" s="46"/>
      <x:c r="B66" s="46"/>
      <x:c r="C66" s="46"/>
      <x:c r="D66" s="46"/>
      <x:c r="E66" s="46"/>
      <x:c r="F66" s="46"/>
      <x:c r="G66" s="46"/>
      <x:c r="H66" s="46"/>
      <x:c r="I66" s="46"/>
      <x:c r="J66" s="3"/>
      <x:c r="K66" s="3"/>
      <x:c r="L66" s="3"/>
      <x:c r="M66" s="3"/>
      <x:c r="N66" s="3"/>
      <x:c r="O66" s="3"/>
      <x:c r="P66" s="3"/>
      <x:c r="Q66" s="3"/>
      <x:c r="R66" s="3"/>
    </x:row>
    <x:row r="67" ht="34" customHeight="1">
      <x:c r="A67" s="46"/>
      <x:c r="B67" s="46"/>
      <x:c r="C67" s="46"/>
      <x:c r="D67" s="46"/>
      <x:c r="E67" s="46"/>
      <x:c r="F67" s="46"/>
      <x:c r="G67" s="46"/>
      <x:c r="H67" s="46"/>
      <x:c r="I67" s="46"/>
      <x:c r="J67" s="3"/>
      <x:c r="K67" s="3"/>
      <x:c r="L67" s="3"/>
      <x:c r="M67" s="3"/>
      <x:c r="N67" s="3"/>
      <x:c r="O67" s="3"/>
      <x:c r="P67" s="3"/>
      <x:c r="Q67" s="3"/>
      <x:c r="R67" s="3"/>
    </x:row>
    <x:row r="68" ht="34" customHeight="1">
      <x:c r="A68" s="46"/>
      <x:c r="B68" s="46"/>
      <x:c r="C68" s="46"/>
      <x:c r="D68" s="46"/>
      <x:c r="E68" s="46"/>
      <x:c r="F68" s="46"/>
      <x:c r="G68" s="46"/>
      <x:c r="H68" s="46"/>
      <x:c r="I68" s="46"/>
      <x:c r="J68" s="3"/>
      <x:c r="K68" s="3"/>
      <x:c r="L68" s="3"/>
      <x:c r="M68" s="3"/>
      <x:c r="N68" s="3"/>
      <x:c r="O68" s="3"/>
      <x:c r="P68" s="3"/>
      <x:c r="Q68" s="3"/>
      <x:c r="R68" s="3"/>
    </x:row>
    <x:row r="69" ht="34" customHeight="1">
      <x:c r="A69" s="46"/>
      <x:c r="B69" s="46"/>
      <x:c r="C69" s="46"/>
      <x:c r="D69" s="46"/>
      <x:c r="E69" s="46"/>
      <x:c r="F69" s="46"/>
      <x:c r="G69" s="46"/>
      <x:c r="H69" s="46"/>
      <x:c r="I69" s="46"/>
      <x:c r="J69" s="3"/>
      <x:c r="K69" s="3"/>
      <x:c r="L69" s="3"/>
      <x:c r="M69" s="3"/>
      <x:c r="N69" s="3"/>
      <x:c r="O69" s="3"/>
      <x:c r="P69" s="3"/>
      <x:c r="Q69" s="3"/>
      <x:c r="R69" s="3"/>
    </x:row>
    <x:row r="70" ht="34" customHeight="1">
      <x:c r="A70" s="46"/>
      <x:c r="B70" s="46"/>
      <x:c r="C70" s="46"/>
      <x:c r="D70" s="46"/>
      <x:c r="E70" s="46"/>
      <x:c r="F70" s="46"/>
      <x:c r="G70" s="46"/>
      <x:c r="H70" s="46"/>
      <x:c r="I70" s="46"/>
      <x:c r="J70" s="3"/>
      <x:c r="K70" s="3"/>
      <x:c r="L70" s="3"/>
      <x:c r="M70" s="3"/>
      <x:c r="N70" s="3"/>
      <x:c r="O70" s="3"/>
      <x:c r="P70" s="3"/>
      <x:c r="Q70" s="3"/>
      <x:c r="R70" s="3"/>
    </x:row>
    <x:row r="71" ht="34" customHeight="1">
      <x:c r="A71" s="46"/>
      <x:c r="B71" s="46"/>
      <x:c r="C71" s="46"/>
      <x:c r="D71" s="46"/>
      <x:c r="E71" s="46"/>
      <x:c r="F71" s="46"/>
      <x:c r="G71" s="46"/>
      <x:c r="H71" s="46"/>
      <x:c r="I71" s="46"/>
      <x:c r="J71" s="3"/>
      <x:c r="K71" s="3"/>
      <x:c r="L71" s="3"/>
      <x:c r="M71" s="3"/>
      <x:c r="N71" s="3"/>
      <x:c r="O71" s="3"/>
      <x:c r="P71" s="3"/>
      <x:c r="Q71" s="3"/>
      <x:c r="R71" s="3"/>
    </x:row>
    <x:row r="72" ht="34" customHeight="1">
      <x:c r="A72" s="46"/>
      <x:c r="B72" s="46"/>
      <x:c r="C72" s="46"/>
      <x:c r="D72" s="46"/>
      <x:c r="E72" s="46"/>
      <x:c r="F72" s="46"/>
      <x:c r="G72" s="46"/>
      <x:c r="H72" s="46"/>
      <x:c r="I72" s="46"/>
      <x:c r="J72" s="3"/>
      <x:c r="K72" s="3"/>
      <x:c r="L72" s="3"/>
      <x:c r="M72" s="3"/>
      <x:c r="N72" s="3"/>
      <x:c r="O72" s="3"/>
      <x:c r="P72" s="3"/>
      <x:c r="Q72" s="3"/>
      <x:c r="R72" s="3"/>
    </x:row>
    <x:row r="73" ht="34" customHeight="1">
      <x:c r="A73" s="46"/>
      <x:c r="B73" s="46"/>
      <x:c r="C73" s="46"/>
      <x:c r="D73" s="46"/>
      <x:c r="E73" s="46"/>
      <x:c r="F73" s="46"/>
      <x:c r="G73" s="46"/>
      <x:c r="H73" s="46"/>
      <x:c r="I73" s="46"/>
      <x:c r="J73" s="3"/>
      <x:c r="K73" s="3"/>
      <x:c r="L73" s="3"/>
      <x:c r="M73" s="3"/>
      <x:c r="N73" s="3"/>
      <x:c r="O73" s="3"/>
      <x:c r="P73" s="3"/>
      <x:c r="Q73" s="3"/>
      <x:c r="R73" s="3"/>
    </x:row>
    <x:row r="74" ht="34" customHeight="1">
      <x:c r="A74" s="46"/>
      <x:c r="B74" s="46"/>
      <x:c r="C74" s="46"/>
      <x:c r="D74" s="46"/>
      <x:c r="E74" s="46"/>
      <x:c r="F74" s="46"/>
      <x:c r="G74" s="46"/>
      <x:c r="H74" s="46"/>
      <x:c r="I74" s="46"/>
      <x:c r="J74" s="3"/>
      <x:c r="K74" s="3"/>
      <x:c r="L74" s="3"/>
      <x:c r="M74" s="3"/>
      <x:c r="N74" s="3"/>
      <x:c r="O74" s="3"/>
      <x:c r="P74" s="3"/>
      <x:c r="Q74" s="3"/>
      <x:c r="R74" s="3"/>
    </x:row>
    <x:row r="75" ht="34" customHeight="1">
      <x:c r="A75" s="46"/>
      <x:c r="B75" s="46"/>
      <x:c r="C75" s="46"/>
      <x:c r="D75" s="46"/>
      <x:c r="E75" s="46"/>
      <x:c r="F75" s="46"/>
      <x:c r="G75" s="46"/>
      <x:c r="H75" s="46"/>
      <x:c r="I75" s="46"/>
      <x:c r="J75" s="3"/>
      <x:c r="K75" s="3"/>
      <x:c r="L75" s="3"/>
      <x:c r="M75" s="3"/>
      <x:c r="N75" s="3"/>
      <x:c r="O75" s="3"/>
      <x:c r="P75" s="3"/>
      <x:c r="Q75" s="3"/>
      <x:c r="R75" s="3"/>
    </x:row>
    <x:row r="76" ht="34" customHeight="1">
      <x:c r="A76" s="46"/>
      <x:c r="B76" s="46"/>
      <x:c r="C76" s="46"/>
      <x:c r="D76" s="46"/>
      <x:c r="E76" s="46"/>
      <x:c r="F76" s="46"/>
      <x:c r="G76" s="46"/>
      <x:c r="H76" s="46"/>
      <x:c r="I76" s="46"/>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136" t="str">
        <x:v>Record facts separately from hypotheses. A populated row is not approval: keep the decision authority and supporting evidence explicit. Review access controls before entering identifiable or sensitive information.</x:v>
      </x:c>
      <x:c r="B79" s="136"/>
      <x:c r="C79" s="136"/>
      <x:c r="D79" s="136"/>
      <x:c r="E79" s="136"/>
      <x:c r="F79" s="136"/>
      <x:c r="G79" s="136"/>
      <x:c r="H79" s="136"/>
      <x:c r="I79" s="136"/>
      <x:c r="J79" s="136"/>
      <x:c r="K79" s="136"/>
      <x:c r="L79" s="136"/>
      <x:c r="M79" s="3"/>
      <x:c r="N79" s="3"/>
      <x:c r="O79" s="3"/>
      <x:c r="P79" s="3"/>
      <x:c r="Q79" s="3"/>
      <x:c r="R79" s="3"/>
    </x:row>
    <x:row r="80" ht="20" customHeight="1">
      <x:c r="A80" s="136"/>
      <x:c r="B80" s="136"/>
      <x:c r="C80" s="136"/>
      <x:c r="D80" s="136"/>
      <x:c r="E80" s="136"/>
      <x:c r="F80" s="136"/>
      <x:c r="G80" s="136"/>
      <x:c r="H80" s="136"/>
      <x:c r="I80" s="136"/>
      <x:c r="J80" s="136"/>
      <x:c r="K80" s="136"/>
      <x:c r="L80" s="136"/>
      <x:c r="M80" s="3"/>
      <x:c r="N80" s="3"/>
      <x:c r="O80" s="3"/>
      <x:c r="P80" s="3"/>
      <x:c r="Q80" s="3"/>
      <x:c r="R80" s="3"/>
    </x:row>
    <x:row r="81" ht="20" customHeight="1">
      <x:c r="A81" s="136"/>
      <x:c r="B81" s="136"/>
      <x:c r="C81" s="136"/>
      <x:c r="D81" s="136"/>
      <x:c r="E81" s="136"/>
      <x:c r="F81" s="136"/>
      <x:c r="G81" s="136"/>
      <x:c r="H81" s="136"/>
      <x:c r="I81" s="136"/>
      <x:c r="J81" s="136"/>
      <x:c r="K81" s="136"/>
      <x:c r="L81" s="136"/>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 ref="A53:L54"/>
    <x:mergeCell ref="A79:L81"/>
  </x:mergeCells>
  <x:pageMargins left="0.7" right="0.7" top="0.75" bottom="0.75" header="0.3" footer="0.3"/>
</x:worksheet>
</file>

<file path=xl/worksheets/sheet13.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P07  Baseline, sampling and data-quality plan</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Collect enough trustworthy evidence for the decision without pretending it represents everything.</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P07</x:v>
      </x:c>
      <x:c r="B9" s="34"/>
      <x:c r="C9" s="34"/>
      <x:c r="D9" s="34"/>
      <x:c r="E9" s="34"/>
      <x:c r="F9" s="34"/>
      <x:c r="G9" s="34"/>
      <x:c r="H9" s="34"/>
      <x:c r="I9" s="34"/>
      <x:c r="J9" s="34"/>
      <x:c r="K9" s="34"/>
      <x:c r="L9" s="34"/>
      <x:c r="M9" s="3"/>
      <x:c r="N9" s="3"/>
      <x:c r="O9" s="3"/>
      <x:c r="P9" s="3"/>
      <x:c r="Q9" s="3"/>
      <x:c r="R9" s="3"/>
    </x:row>
    <x:row r="10" ht="20" customHeight="1">
      <x:c r="A10" s="40" t="str">
        <x:v>01  Population and period</x:v>
      </x:c>
      <x:c r="B10" s="40"/>
      <x:c r="C10" s="40"/>
      <x:c r="D10" s="17" t="str">
        <x:v>Define the eligible cases and collection window.</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Sampling method</x:v>
      </x:c>
      <x:c r="B16" s="40"/>
      <x:c r="C16" s="40"/>
      <x:c r="D16" s="17" t="str">
        <x:v>Explain selection and why it fits this decision.</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Coverage and gaps</x:v>
      </x:c>
      <x:c r="B22" s="40"/>
      <x:c r="C22" s="40"/>
      <x:c r="D22" s="17" t="str">
        <x:v>Identify relevant conditions and missing groups.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Data-quality checks</x:v>
      </x:c>
      <x:c r="B28" s="40"/>
      <x:c r="C28" s="40"/>
      <x:c r="D28" s="17" t="str">
        <x:v>Set rules for missing, duplicate or impossible values.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Baseline summary</x:v>
      </x:c>
      <x:c r="B34" s="40"/>
      <x:c r="C34" s="40"/>
      <x:c r="D34" s="17" t="str">
        <x:v>Record valid n, definition and descriptive results.</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Decision and extension</x:v>
      </x:c>
      <x:c r="B40" s="40"/>
      <x:c r="C40" s="40"/>
      <x:c r="D40" s="17" t="str">
        <x:v>State what the baseline permits and what comes next.</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The workbook does not calculate a universal sample-size requirement. Forty requests are a fictional teaching sample, not a recommended minimum. Rare harm, subgroup fairness or formal causal evaluation can require specialist design and much more evidence.</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P13, P14, D04  |  METHOD SOURCES: U01, R03</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14.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P08  Driver diagram and change theory</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Connect the aim to the conditions you believe will produce it.</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P08</x:v>
      </x:c>
      <x:c r="B9" s="34"/>
      <x:c r="C9" s="34"/>
      <x:c r="D9" s="34"/>
      <x:c r="E9" s="34"/>
      <x:c r="F9" s="34"/>
      <x:c r="G9" s="34"/>
      <x:c r="H9" s="34"/>
      <x:c r="I9" s="34"/>
      <x:c r="J9" s="34"/>
      <x:c r="K9" s="34"/>
      <x:c r="L9" s="34"/>
      <x:c r="M9" s="3"/>
      <x:c r="N9" s="3"/>
      <x:c r="O9" s="3"/>
      <x:c r="P9" s="3"/>
      <x:c r="Q9" s="3"/>
      <x:c r="R9" s="3"/>
    </x:row>
    <x:row r="10" ht="20" customHeight="1">
      <x:c r="A10" s="40" t="str">
        <x:v>01  Aim</x:v>
      </x:c>
      <x:c r="B10" s="40"/>
      <x:c r="C10" s="40"/>
      <x:c r="D10" s="17" t="str">
        <x:v>State the outcome and protected conditions.</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Primary drivers</x:v>
      </x:c>
      <x:c r="B16" s="40"/>
      <x:c r="C16" s="40"/>
      <x:c r="D16" s="17" t="str">
        <x:v>Identify broad conditions required for success.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Secondary drivers</x:v>
      </x:c>
      <x:c r="B22" s="40"/>
      <x:c r="C22" s="40"/>
      <x:c r="D22" s="17" t="str">
        <x:v>Define observable conditions beneath each driver.</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Change ideas</x:v>
      </x:c>
      <x:c r="B28" s="40"/>
      <x:c r="C28" s="40"/>
      <x:c r="D28" s="17" t="str">
        <x:v>Link each idea to its expected mechanism.</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Measures and disconfirmation</x:v>
      </x:c>
      <x:c r="B34" s="40"/>
      <x:c r="C34" s="40"/>
      <x:c r="D34" s="17" t="str">
        <x:v>State what would support or weaken the theory.</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Test and revision</x:v>
      </x:c>
      <x:c r="B40" s="40"/>
      <x:c r="C40" s="40"/>
      <x:c r="D40" s="17" t="str">
        <x:v>Record selected idea, cycle and learning update.</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Lines on a diagram do not prove causation. Avoid a single-driver explanation for a complex process. Include conditions outside HR, and do not assume a technology change will repair unclear ownership or contradictory policies.</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P11, P13, V03  |  METHOD SOURCES: U01, U04, R10</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15.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P09  Fishbone and cause-evidence map</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Explore plausible causes without turning brainstorming into a diagnosis.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P09</x:v>
      </x:c>
      <x:c r="B9" s="34"/>
      <x:c r="C9" s="34"/>
      <x:c r="D9" s="34"/>
      <x:c r="E9" s="34"/>
      <x:c r="F9" s="34"/>
      <x:c r="G9" s="34"/>
      <x:c r="H9" s="34"/>
      <x:c r="I9" s="34"/>
      <x:c r="J9" s="34"/>
      <x:c r="K9" s="34"/>
      <x:c r="L9" s="34"/>
      <x:c r="M9" s="3"/>
      <x:c r="N9" s="3"/>
      <x:c r="O9" s="3"/>
      <x:c r="P9" s="3"/>
      <x:c r="Q9" s="3"/>
      <x:c r="R9" s="3"/>
    </x:row>
    <x:row r="10" ht="20" customHeight="1">
      <x:c r="A10" s="40" t="str">
        <x:v>01  Effect and boundary</x:v>
      </x:c>
      <x:c r="B10" s="40"/>
      <x:c r="C10" s="40"/>
      <x:c r="D10" s="17" t="str">
        <x:v>Define the specific process result to explain.</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Branches</x:v>
      </x:c>
      <x:c r="B16" s="40"/>
      <x:c r="C16" s="40"/>
      <x:c r="D16" s="17" t="str">
        <x:v>Select categories appropriate to the process.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Possible causes</x:v>
      </x:c>
      <x:c r="B22" s="40"/>
      <x:c r="C22" s="40"/>
      <x:c r="D22" s="17" t="str">
        <x:v>Record mechanisms and sub-causes.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Evidence status</x:v>
      </x:c>
      <x:c r="B28" s="40"/>
      <x:c r="C28" s="40"/>
      <x:c r="D28" s="17" t="str">
        <x:v>Distinguish facts from assumptions.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Verification plan</x:v>
      </x:c>
      <x:c r="B34" s="40"/>
      <x:c r="C34" s="40"/>
      <x:c r="D34" s="17" t="str">
        <x:v>Specify the next evidence needed.</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Priority and next test</x:v>
      </x:c>
      <x:c r="B40" s="40"/>
      <x:c r="C40" s="40"/>
      <x:c r="D40" s="17" t="str">
        <x:v>Record which hypothesis will be tested first.</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The fishbone is an exploration tool. Use it alongside observation, stratification and process data. Repeated labels, votes and senior opinion are not verification. Replace personal blame with the conditions that shape the work, while retaining appropriate accountability.</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P10, P13, S06  |  METHOD SOURCES: U04, R09</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4" t="str">
        <x:v>LIVE WORKING REGISTER | Add evidence, ownership and a review date.</x:v>
      </x:c>
      <x:c r="B53" s="34"/>
      <x:c r="C53" s="34"/>
      <x:c r="D53" s="34"/>
      <x:c r="E53" s="34"/>
      <x:c r="F53" s="34"/>
      <x:c r="G53" s="34"/>
      <x:c r="H53" s="34"/>
      <x:c r="I53" s="34"/>
      <x:c r="J53" s="34"/>
      <x:c r="K53" s="34"/>
      <x:c r="L53" s="34"/>
      <x:c r="M53" s="3"/>
      <x:c r="N53" s="3"/>
      <x:c r="O53" s="3"/>
      <x:c r="P53" s="3"/>
      <x:c r="Q53" s="3"/>
      <x:c r="R53" s="3"/>
    </x:row>
    <x:row r="54" ht="20" customHeight="1">
      <x:c r="A54" s="34"/>
      <x:c r="B54" s="34"/>
      <x:c r="C54" s="34"/>
      <x:c r="D54" s="34"/>
      <x:c r="E54" s="34"/>
      <x:c r="F54" s="34"/>
      <x:c r="G54" s="34"/>
      <x:c r="H54" s="34"/>
      <x:c r="I54" s="34"/>
      <x:c r="J54" s="34"/>
      <x:c r="K54" s="34"/>
      <x:c r="L54" s="34"/>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38" customHeight="1">
      <x:c r="A56" s="77" t="str">
        <x:v>Potential cause</x:v>
      </x:c>
      <x:c r="B56" s="77" t="str">
        <x:v>Observed evidence</x:v>
      </x:c>
      <x:c r="C56" s="77" t="str">
        <x:v>Contradicting evidence</x:v>
      </x:c>
      <x:c r="D56" s="77" t="str">
        <x:v>Test required</x:v>
      </x:c>
      <x:c r="E56" s="77" t="str">
        <x:v>Owner</x:v>
      </x:c>
      <x:c r="F56" s="77" t="str">
        <x:v>Due</x:v>
      </x:c>
      <x:c r="G56" s="77" t="str">
        <x:v>Disposition</x:v>
      </x:c>
      <x:c r="H56" s="3"/>
      <x:c r="I56" s="3"/>
      <x:c r="J56" s="3"/>
      <x:c r="K56" s="3"/>
      <x:c r="L56" s="3"/>
      <x:c r="M56" s="3"/>
      <x:c r="N56" s="3"/>
      <x:c r="O56" s="3"/>
      <x:c r="P56" s="3"/>
      <x:c r="Q56" s="3"/>
      <x:c r="R56" s="3"/>
    </x:row>
    <x:row r="57" ht="34" customHeight="1">
      <x:c r="A57" s="46"/>
      <x:c r="B57" s="46"/>
      <x:c r="C57" s="46"/>
      <x:c r="D57" s="46"/>
      <x:c r="E57" s="46"/>
      <x:c r="F57" s="46"/>
      <x:c r="G57" s="46"/>
      <x:c r="H57" s="3"/>
      <x:c r="I57" s="3"/>
      <x:c r="J57" s="3"/>
      <x:c r="K57" s="3"/>
      <x:c r="L57" s="3"/>
      <x:c r="M57" s="3"/>
      <x:c r="N57" s="3"/>
      <x:c r="O57" s="3"/>
      <x:c r="P57" s="3"/>
      <x:c r="Q57" s="3"/>
      <x:c r="R57" s="3"/>
    </x:row>
    <x:row r="58" ht="34" customHeight="1">
      <x:c r="A58" s="46"/>
      <x:c r="B58" s="46"/>
      <x:c r="C58" s="46"/>
      <x:c r="D58" s="46"/>
      <x:c r="E58" s="46"/>
      <x:c r="F58" s="46"/>
      <x:c r="G58" s="46"/>
      <x:c r="H58" s="3"/>
      <x:c r="I58" s="3"/>
      <x:c r="J58" s="3"/>
      <x:c r="K58" s="3"/>
      <x:c r="L58" s="3"/>
      <x:c r="M58" s="3"/>
      <x:c r="N58" s="3"/>
      <x:c r="O58" s="3"/>
      <x:c r="P58" s="3"/>
      <x:c r="Q58" s="3"/>
      <x:c r="R58" s="3"/>
    </x:row>
    <x:row r="59" ht="34" customHeight="1">
      <x:c r="A59" s="46"/>
      <x:c r="B59" s="46"/>
      <x:c r="C59" s="46"/>
      <x:c r="D59" s="46"/>
      <x:c r="E59" s="46"/>
      <x:c r="F59" s="46"/>
      <x:c r="G59" s="46"/>
      <x:c r="H59" s="3"/>
      <x:c r="I59" s="3"/>
      <x:c r="J59" s="3"/>
      <x:c r="K59" s="3"/>
      <x:c r="L59" s="3"/>
      <x:c r="M59" s="3"/>
      <x:c r="N59" s="3"/>
      <x:c r="O59" s="3"/>
      <x:c r="P59" s="3"/>
      <x:c r="Q59" s="3"/>
      <x:c r="R59" s="3"/>
    </x:row>
    <x:row r="60" ht="34" customHeight="1">
      <x:c r="A60" s="46"/>
      <x:c r="B60" s="46"/>
      <x:c r="C60" s="46"/>
      <x:c r="D60" s="46"/>
      <x:c r="E60" s="46"/>
      <x:c r="F60" s="46"/>
      <x:c r="G60" s="46"/>
      <x:c r="H60" s="3"/>
      <x:c r="I60" s="3"/>
      <x:c r="J60" s="3"/>
      <x:c r="K60" s="3"/>
      <x:c r="L60" s="3"/>
      <x:c r="M60" s="3"/>
      <x:c r="N60" s="3"/>
      <x:c r="O60" s="3"/>
      <x:c r="P60" s="3"/>
      <x:c r="Q60" s="3"/>
      <x:c r="R60" s="3"/>
    </x:row>
    <x:row r="61" ht="34" customHeight="1">
      <x:c r="A61" s="46"/>
      <x:c r="B61" s="46"/>
      <x:c r="C61" s="46"/>
      <x:c r="D61" s="46"/>
      <x:c r="E61" s="46"/>
      <x:c r="F61" s="46"/>
      <x:c r="G61" s="46"/>
      <x:c r="H61" s="3"/>
      <x:c r="I61" s="3"/>
      <x:c r="J61" s="3"/>
      <x:c r="K61" s="3"/>
      <x:c r="L61" s="3"/>
      <x:c r="M61" s="3"/>
      <x:c r="N61" s="3"/>
      <x:c r="O61" s="3"/>
      <x:c r="P61" s="3"/>
      <x:c r="Q61" s="3"/>
      <x:c r="R61" s="3"/>
    </x:row>
    <x:row r="62" ht="34" customHeight="1">
      <x:c r="A62" s="46"/>
      <x:c r="B62" s="46"/>
      <x:c r="C62" s="46"/>
      <x:c r="D62" s="46"/>
      <x:c r="E62" s="46"/>
      <x:c r="F62" s="46"/>
      <x:c r="G62" s="46"/>
      <x:c r="H62" s="3"/>
      <x:c r="I62" s="3"/>
      <x:c r="J62" s="3"/>
      <x:c r="K62" s="3"/>
      <x:c r="L62" s="3"/>
      <x:c r="M62" s="3"/>
      <x:c r="N62" s="3"/>
      <x:c r="O62" s="3"/>
      <x:c r="P62" s="3"/>
      <x:c r="Q62" s="3"/>
      <x:c r="R62" s="3"/>
    </x:row>
    <x:row r="63" ht="34" customHeight="1">
      <x:c r="A63" s="46"/>
      <x:c r="B63" s="46"/>
      <x:c r="C63" s="46"/>
      <x:c r="D63" s="46"/>
      <x:c r="E63" s="46"/>
      <x:c r="F63" s="46"/>
      <x:c r="G63" s="46"/>
      <x:c r="H63" s="3"/>
      <x:c r="I63" s="3"/>
      <x:c r="J63" s="3"/>
      <x:c r="K63" s="3"/>
      <x:c r="L63" s="3"/>
      <x:c r="M63" s="3"/>
      <x:c r="N63" s="3"/>
      <x:c r="O63" s="3"/>
      <x:c r="P63" s="3"/>
      <x:c r="Q63" s="3"/>
      <x:c r="R63" s="3"/>
    </x:row>
    <x:row r="64" ht="34" customHeight="1">
      <x:c r="A64" s="46"/>
      <x:c r="B64" s="46"/>
      <x:c r="C64" s="46"/>
      <x:c r="D64" s="46"/>
      <x:c r="E64" s="46"/>
      <x:c r="F64" s="46"/>
      <x:c r="G64" s="46"/>
      <x:c r="H64" s="3"/>
      <x:c r="I64" s="3"/>
      <x:c r="J64" s="3"/>
      <x:c r="K64" s="3"/>
      <x:c r="L64" s="3"/>
      <x:c r="M64" s="3"/>
      <x:c r="N64" s="3"/>
      <x:c r="O64" s="3"/>
      <x:c r="P64" s="3"/>
      <x:c r="Q64" s="3"/>
      <x:c r="R64" s="3"/>
    </x:row>
    <x:row r="65" ht="34" customHeight="1">
      <x:c r="A65" s="46"/>
      <x:c r="B65" s="46"/>
      <x:c r="C65" s="46"/>
      <x:c r="D65" s="46"/>
      <x:c r="E65" s="46"/>
      <x:c r="F65" s="46"/>
      <x:c r="G65" s="46"/>
      <x:c r="H65" s="3"/>
      <x:c r="I65" s="3"/>
      <x:c r="J65" s="3"/>
      <x:c r="K65" s="3"/>
      <x:c r="L65" s="3"/>
      <x:c r="M65" s="3"/>
      <x:c r="N65" s="3"/>
      <x:c r="O65" s="3"/>
      <x:c r="P65" s="3"/>
      <x:c r="Q65" s="3"/>
      <x:c r="R65" s="3"/>
    </x:row>
    <x:row r="66" ht="34" customHeight="1">
      <x:c r="A66" s="46"/>
      <x:c r="B66" s="46"/>
      <x:c r="C66" s="46"/>
      <x:c r="D66" s="46"/>
      <x:c r="E66" s="46"/>
      <x:c r="F66" s="46"/>
      <x:c r="G66" s="46"/>
      <x:c r="H66" s="3"/>
      <x:c r="I66" s="3"/>
      <x:c r="J66" s="3"/>
      <x:c r="K66" s="3"/>
      <x:c r="L66" s="3"/>
      <x:c r="M66" s="3"/>
      <x:c r="N66" s="3"/>
      <x:c r="O66" s="3"/>
      <x:c r="P66" s="3"/>
      <x:c r="Q66" s="3"/>
      <x:c r="R66" s="3"/>
    </x:row>
    <x:row r="67" ht="34" customHeight="1">
      <x:c r="A67" s="46"/>
      <x:c r="B67" s="46"/>
      <x:c r="C67" s="46"/>
      <x:c r="D67" s="46"/>
      <x:c r="E67" s="46"/>
      <x:c r="F67" s="46"/>
      <x:c r="G67" s="46"/>
      <x:c r="H67" s="3"/>
      <x:c r="I67" s="3"/>
      <x:c r="J67" s="3"/>
      <x:c r="K67" s="3"/>
      <x:c r="L67" s="3"/>
      <x:c r="M67" s="3"/>
      <x:c r="N67" s="3"/>
      <x:c r="O67" s="3"/>
      <x:c r="P67" s="3"/>
      <x:c r="Q67" s="3"/>
      <x:c r="R67" s="3"/>
    </x:row>
    <x:row r="68" ht="34" customHeight="1">
      <x:c r="A68" s="46"/>
      <x:c r="B68" s="46"/>
      <x:c r="C68" s="46"/>
      <x:c r="D68" s="46"/>
      <x:c r="E68" s="46"/>
      <x:c r="F68" s="46"/>
      <x:c r="G68" s="46"/>
      <x:c r="H68" s="3"/>
      <x:c r="I68" s="3"/>
      <x:c r="J68" s="3"/>
      <x:c r="K68" s="3"/>
      <x:c r="L68" s="3"/>
      <x:c r="M68" s="3"/>
      <x:c r="N68" s="3"/>
      <x:c r="O68" s="3"/>
      <x:c r="P68" s="3"/>
      <x:c r="Q68" s="3"/>
      <x:c r="R68" s="3"/>
    </x:row>
    <x:row r="69" ht="34" customHeight="1">
      <x:c r="A69" s="46"/>
      <x:c r="B69" s="46"/>
      <x:c r="C69" s="46"/>
      <x:c r="D69" s="46"/>
      <x:c r="E69" s="46"/>
      <x:c r="F69" s="46"/>
      <x:c r="G69" s="46"/>
      <x:c r="H69" s="3"/>
      <x:c r="I69" s="3"/>
      <x:c r="J69" s="3"/>
      <x:c r="K69" s="3"/>
      <x:c r="L69" s="3"/>
      <x:c r="M69" s="3"/>
      <x:c r="N69" s="3"/>
      <x:c r="O69" s="3"/>
      <x:c r="P69" s="3"/>
      <x:c r="Q69" s="3"/>
      <x:c r="R69" s="3"/>
    </x:row>
    <x:row r="70" ht="34" customHeight="1">
      <x:c r="A70" s="46"/>
      <x:c r="B70" s="46"/>
      <x:c r="C70" s="46"/>
      <x:c r="D70" s="46"/>
      <x:c r="E70" s="46"/>
      <x:c r="F70" s="46"/>
      <x:c r="G70" s="46"/>
      <x:c r="H70" s="3"/>
      <x:c r="I70" s="3"/>
      <x:c r="J70" s="3"/>
      <x:c r="K70" s="3"/>
      <x:c r="L70" s="3"/>
      <x:c r="M70" s="3"/>
      <x:c r="N70" s="3"/>
      <x:c r="O70" s="3"/>
      <x:c r="P70" s="3"/>
      <x:c r="Q70" s="3"/>
      <x:c r="R70" s="3"/>
    </x:row>
    <x:row r="71" ht="34" customHeight="1">
      <x:c r="A71" s="46"/>
      <x:c r="B71" s="46"/>
      <x:c r="C71" s="46"/>
      <x:c r="D71" s="46"/>
      <x:c r="E71" s="46"/>
      <x:c r="F71" s="46"/>
      <x:c r="G71" s="46"/>
      <x:c r="H71" s="3"/>
      <x:c r="I71" s="3"/>
      <x:c r="J71" s="3"/>
      <x:c r="K71" s="3"/>
      <x:c r="L71" s="3"/>
      <x:c r="M71" s="3"/>
      <x:c r="N71" s="3"/>
      <x:c r="O71" s="3"/>
      <x:c r="P71" s="3"/>
      <x:c r="Q71" s="3"/>
      <x:c r="R71" s="3"/>
    </x:row>
    <x:row r="72" ht="34" customHeight="1">
      <x:c r="A72" s="46"/>
      <x:c r="B72" s="46"/>
      <x:c r="C72" s="46"/>
      <x:c r="D72" s="46"/>
      <x:c r="E72" s="46"/>
      <x:c r="F72" s="46"/>
      <x:c r="G72" s="46"/>
      <x:c r="H72" s="3"/>
      <x:c r="I72" s="3"/>
      <x:c r="J72" s="3"/>
      <x:c r="K72" s="3"/>
      <x:c r="L72" s="3"/>
      <x:c r="M72" s="3"/>
      <x:c r="N72" s="3"/>
      <x:c r="O72" s="3"/>
      <x:c r="P72" s="3"/>
      <x:c r="Q72" s="3"/>
      <x:c r="R72" s="3"/>
    </x:row>
    <x:row r="73" ht="34" customHeight="1">
      <x:c r="A73" s="46"/>
      <x:c r="B73" s="46"/>
      <x:c r="C73" s="46"/>
      <x:c r="D73" s="46"/>
      <x:c r="E73" s="46"/>
      <x:c r="F73" s="46"/>
      <x:c r="G73" s="46"/>
      <x:c r="H73" s="3"/>
      <x:c r="I73" s="3"/>
      <x:c r="J73" s="3"/>
      <x:c r="K73" s="3"/>
      <x:c r="L73" s="3"/>
      <x:c r="M73" s="3"/>
      <x:c r="N73" s="3"/>
      <x:c r="O73" s="3"/>
      <x:c r="P73" s="3"/>
      <x:c r="Q73" s="3"/>
      <x:c r="R73" s="3"/>
    </x:row>
    <x:row r="74" ht="34" customHeight="1">
      <x:c r="A74" s="46"/>
      <x:c r="B74" s="46"/>
      <x:c r="C74" s="46"/>
      <x:c r="D74" s="46"/>
      <x:c r="E74" s="46"/>
      <x:c r="F74" s="46"/>
      <x:c r="G74" s="46"/>
      <x:c r="H74" s="3"/>
      <x:c r="I74" s="3"/>
      <x:c r="J74" s="3"/>
      <x:c r="K74" s="3"/>
      <x:c r="L74" s="3"/>
      <x:c r="M74" s="3"/>
      <x:c r="N74" s="3"/>
      <x:c r="O74" s="3"/>
      <x:c r="P74" s="3"/>
      <x:c r="Q74" s="3"/>
      <x:c r="R74" s="3"/>
    </x:row>
    <x:row r="75" ht="34" customHeight="1">
      <x:c r="A75" s="46"/>
      <x:c r="B75" s="46"/>
      <x:c r="C75" s="46"/>
      <x:c r="D75" s="46"/>
      <x:c r="E75" s="46"/>
      <x:c r="F75" s="46"/>
      <x:c r="G75" s="46"/>
      <x:c r="H75" s="3"/>
      <x:c r="I75" s="3"/>
      <x:c r="J75" s="3"/>
      <x:c r="K75" s="3"/>
      <x:c r="L75" s="3"/>
      <x:c r="M75" s="3"/>
      <x:c r="N75" s="3"/>
      <x:c r="O75" s="3"/>
      <x:c r="P75" s="3"/>
      <x:c r="Q75" s="3"/>
      <x:c r="R75" s="3"/>
    </x:row>
    <x:row r="76" ht="34" customHeight="1">
      <x:c r="A76" s="46"/>
      <x:c r="B76" s="46"/>
      <x:c r="C76" s="46"/>
      <x:c r="D76" s="46"/>
      <x:c r="E76" s="46"/>
      <x:c r="F76" s="46"/>
      <x:c r="G76" s="46"/>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136" t="str">
        <x:v>Record facts separately from hypotheses. A populated row is not approval: keep the decision authority and supporting evidence explicit. Review access controls before entering identifiable or sensitive information.</x:v>
      </x:c>
      <x:c r="B79" s="136"/>
      <x:c r="C79" s="136"/>
      <x:c r="D79" s="136"/>
      <x:c r="E79" s="136"/>
      <x:c r="F79" s="136"/>
      <x:c r="G79" s="136"/>
      <x:c r="H79" s="136"/>
      <x:c r="I79" s="136"/>
      <x:c r="J79" s="136"/>
      <x:c r="K79" s="136"/>
      <x:c r="L79" s="136"/>
      <x:c r="M79" s="3"/>
      <x:c r="N79" s="3"/>
      <x:c r="O79" s="3"/>
      <x:c r="P79" s="3"/>
      <x:c r="Q79" s="3"/>
      <x:c r="R79" s="3"/>
    </x:row>
    <x:row r="80" ht="20" customHeight="1">
      <x:c r="A80" s="136"/>
      <x:c r="B80" s="136"/>
      <x:c r="C80" s="136"/>
      <x:c r="D80" s="136"/>
      <x:c r="E80" s="136"/>
      <x:c r="F80" s="136"/>
      <x:c r="G80" s="136"/>
      <x:c r="H80" s="136"/>
      <x:c r="I80" s="136"/>
      <x:c r="J80" s="136"/>
      <x:c r="K80" s="136"/>
      <x:c r="L80" s="136"/>
      <x:c r="M80" s="3"/>
      <x:c r="N80" s="3"/>
      <x:c r="O80" s="3"/>
      <x:c r="P80" s="3"/>
      <x:c r="Q80" s="3"/>
      <x:c r="R80" s="3"/>
    </x:row>
    <x:row r="81" ht="20" customHeight="1">
      <x:c r="A81" s="136"/>
      <x:c r="B81" s="136"/>
      <x:c r="C81" s="136"/>
      <x:c r="D81" s="136"/>
      <x:c r="E81" s="136"/>
      <x:c r="F81" s="136"/>
      <x:c r="G81" s="136"/>
      <x:c r="H81" s="136"/>
      <x:c r="I81" s="136"/>
      <x:c r="J81" s="136"/>
      <x:c r="K81" s="136"/>
      <x:c r="L81" s="136"/>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 ref="A53:L54"/>
    <x:mergeCell ref="A79:L81"/>
  </x:mergeCells>
  <x:pageMargins left="0.7" right="0.7" top="0.75" bottom="0.75" header="0.3" footer="0.3"/>
</x:worksheet>
</file>

<file path=xl/worksheets/sheet16.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P10  Five Whys and verification trail</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Follow a causal chain until you reach an actionable system condition.</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P10</x:v>
      </x:c>
      <x:c r="B9" s="34"/>
      <x:c r="C9" s="34"/>
      <x:c r="D9" s="34"/>
      <x:c r="E9" s="34"/>
      <x:c r="F9" s="34"/>
      <x:c r="G9" s="34"/>
      <x:c r="H9" s="34"/>
      <x:c r="I9" s="34"/>
      <x:c r="J9" s="34"/>
      <x:c r="K9" s="34"/>
      <x:c r="L9" s="34"/>
      <x:c r="M9" s="3"/>
      <x:c r="N9" s="3"/>
      <x:c r="O9" s="3"/>
      <x:c r="P9" s="3"/>
      <x:c r="Q9" s="3"/>
      <x:c r="R9" s="3"/>
    </x:row>
    <x:row r="10" ht="20" customHeight="1">
      <x:c r="A10" s="40" t="str">
        <x:v>01  Starting problem</x:v>
      </x:c>
      <x:c r="B10" s="40"/>
      <x:c r="C10" s="40"/>
      <x:c r="D10" s="17" t="str">
        <x:v>State a bounded and observed failure.</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First causal link</x:v>
      </x:c>
      <x:c r="B16" s="40"/>
      <x:c r="C16" s="40"/>
      <x:c r="D16" s="17" t="str">
        <x:v>State the immediate condition and evidence.</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Deeper links</x:v>
      </x:c>
      <x:c r="B22" s="40"/>
      <x:c r="C22" s="40"/>
      <x:c r="D22" s="17" t="str">
        <x:v>Continue with evidence, allowing branches.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Verification and alternatives</x:v>
      </x:c>
      <x:c r="B28" s="40"/>
      <x:c r="C28" s="40"/>
      <x:c r="D28" s="17" t="str">
        <x:v>Record what is known and what still needs checking.</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Countermeasure</x:v>
      </x:c>
      <x:c r="B34" s="40"/>
      <x:c r="C34" s="40"/>
      <x:c r="D34" s="17" t="str">
        <x:v>Specify the condition to change.</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Test and follow-through</x:v>
      </x:c>
      <x:c r="B40" s="40"/>
      <x:c r="C40" s="40"/>
      <x:c r="D40" s="17" t="str">
        <x:v>Define the result that will challenge the explanation.</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Do not end every analysis with "training" or "human error". Complex problems may require several branches or specialist investigation. A five-line chain is not sufficient for serious incidents or for conclusions about an individual employee.</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P13, F04  |  METHOD SOURCES: U04, R18</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17.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4" hidden="0" customWidth="1"/>
    <x:col min="2" max="2" width="44" hidden="0" customWidth="1"/>
    <x:col min="3" max="3" width="16" hidden="0" customWidth="1"/>
    <x:col min="4" max="4" width="16" hidden="0" customWidth="1"/>
    <x:col min="5" max="5" width="21" hidden="0" customWidth="1"/>
    <x:col min="6" max="6" width="44" hidden="0" customWidth="1"/>
    <x:col min="7" max="7" width="28" hidden="0" customWidth="1"/>
    <x:col min="8" max="8" width="24"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P11  Change-idea shortlist and PICK matrix</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Choose the next useful experiment rather than the most fashionable solution.</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Idea ID</x:v>
      </x:c>
      <x:c r="B9" s="77" t="str">
        <x:v>Countermeasure</x:v>
      </x:c>
      <x:c r="C9" s="77" t="str">
        <x:v>Benefit 1-5</x:v>
      </x:c>
      <x:c r="D9" s="77" t="str">
        <x:v>Effort 1-5</x:v>
      </x:c>
      <x:c r="E9" s="77" t="str">
        <x:v>Mandatory checks</x:v>
      </x:c>
      <x:c r="F9" s="77" t="str">
        <x:v>Evidence</x:v>
      </x:c>
      <x:c r="G9" s="77" t="str">
        <x:v>PICK result</x:v>
      </x:c>
      <x:c r="H9" s="77" t="str">
        <x:v>Owner</x:v>
      </x:c>
      <x:c r="I9" s="3"/>
      <x:c r="J9" s="3"/>
      <x:c r="K9" s="3"/>
      <x:c r="L9" s="3"/>
      <x:c r="M9" s="3"/>
      <x:c r="N9" s="3"/>
      <x:c r="O9" s="3"/>
      <x:c r="P9" s="3"/>
      <x:c r="Q9" s="3"/>
      <x:c r="R9" s="3"/>
    </x:row>
    <x:row r="10" ht="34" customHeight="1">
      <x:c r="A10" s="46"/>
      <x:c r="B10" s="46"/>
      <x:c r="C10" s="46"/>
      <x:c r="D10" s="46"/>
      <x:c r="E10" s="46"/>
      <x:c r="F10" s="46"/>
      <x:c r="G10" s="83" t="str">
        <x:f>IF(A10="","",IF(E10&lt;&gt;"Pass","HOLD - review safeguards",IF(OR(COUNT(C10:D10)&lt;2,C10&lt;1,C10&gt;5,D10&lt;1,D10&gt;5,MOD(C10,1)&lt;&gt;0,MOD(D10,1)&lt;&gt;0),"Enter valid 1-5 ratings",IF(C10&gt;='01 Setup'!$B$24,IF(D10&lt;='01 Setup'!$B$25,"Implement - test first","Challenge"),IF(D10&lt;='01 Setup'!$B$25,"Possible","Kill / do not pursue")))))</x:f>
      </x:c>
      <x:c r="H10" s="46"/>
      <x:c r="I10" s="3"/>
      <x:c r="J10" s="3"/>
      <x:c r="K10" s="3"/>
      <x:c r="L10" s="3"/>
      <x:c r="M10" s="3"/>
      <x:c r="N10" s="3"/>
      <x:c r="O10" s="3"/>
      <x:c r="P10" s="3"/>
      <x:c r="Q10" s="3"/>
      <x:c r="R10" s="3"/>
    </x:row>
    <x:row r="11" ht="34" customHeight="1">
      <x:c r="A11" s="46"/>
      <x:c r="B11" s="46"/>
      <x:c r="C11" s="46"/>
      <x:c r="D11" s="46"/>
      <x:c r="E11" s="46"/>
      <x:c r="F11" s="46"/>
      <x:c r="G11" s="83" t="str">
        <x:f>IF(A11="","",IF(E11&lt;&gt;"Pass","HOLD - review safeguards",IF(OR(COUNT(C11:D11)&lt;2,C11&lt;1,C11&gt;5,D11&lt;1,D11&gt;5,MOD(C11,1)&lt;&gt;0,MOD(D11,1)&lt;&gt;0),"Enter valid 1-5 ratings",IF(C11&gt;='01 Setup'!$B$24,IF(D11&lt;='01 Setup'!$B$25,"Implement - test first","Challenge"),IF(D11&lt;='01 Setup'!$B$25,"Possible","Kill / do not pursue")))))</x:f>
      </x:c>
      <x:c r="H11" s="46"/>
      <x:c r="I11" s="3"/>
      <x:c r="J11" s="3"/>
      <x:c r="K11" s="3"/>
      <x:c r="L11" s="3"/>
      <x:c r="M11" s="3"/>
      <x:c r="N11" s="3"/>
      <x:c r="O11" s="3"/>
      <x:c r="P11" s="3"/>
      <x:c r="Q11" s="3"/>
      <x:c r="R11" s="3"/>
    </x:row>
    <x:row r="12" ht="34" customHeight="1">
      <x:c r="A12" s="46"/>
      <x:c r="B12" s="46"/>
      <x:c r="C12" s="46"/>
      <x:c r="D12" s="46"/>
      <x:c r="E12" s="46"/>
      <x:c r="F12" s="46"/>
      <x:c r="G12" s="83" t="str">
        <x:f>IF(A12="","",IF(E12&lt;&gt;"Pass","HOLD - review safeguards",IF(OR(COUNT(C12:D12)&lt;2,C12&lt;1,C12&gt;5,D12&lt;1,D12&gt;5,MOD(C12,1)&lt;&gt;0,MOD(D12,1)&lt;&gt;0),"Enter valid 1-5 ratings",IF(C12&gt;='01 Setup'!$B$24,IF(D12&lt;='01 Setup'!$B$25,"Implement - test first","Challenge"),IF(D12&lt;='01 Setup'!$B$25,"Possible","Kill / do not pursue")))))</x:f>
      </x:c>
      <x:c r="H12" s="46"/>
      <x:c r="I12" s="3"/>
      <x:c r="J12" s="3"/>
      <x:c r="K12" s="3"/>
      <x:c r="L12" s="3"/>
      <x:c r="M12" s="3"/>
      <x:c r="N12" s="3"/>
      <x:c r="O12" s="3"/>
      <x:c r="P12" s="3"/>
      <x:c r="Q12" s="3"/>
      <x:c r="R12" s="3"/>
    </x:row>
    <x:row r="13" ht="34" customHeight="1">
      <x:c r="A13" s="46"/>
      <x:c r="B13" s="46"/>
      <x:c r="C13" s="46"/>
      <x:c r="D13" s="46"/>
      <x:c r="E13" s="46"/>
      <x:c r="F13" s="46"/>
      <x:c r="G13" s="83" t="str">
        <x:f>IF(A13="","",IF(E13&lt;&gt;"Pass","HOLD - review safeguards",IF(OR(COUNT(C13:D13)&lt;2,C13&lt;1,C13&gt;5,D13&lt;1,D13&gt;5,MOD(C13,1)&lt;&gt;0,MOD(D13,1)&lt;&gt;0),"Enter valid 1-5 ratings",IF(C13&gt;='01 Setup'!$B$24,IF(D13&lt;='01 Setup'!$B$25,"Implement - test first","Challenge"),IF(D13&lt;='01 Setup'!$B$25,"Possible","Kill / do not pursue")))))</x:f>
      </x:c>
      <x:c r="H13" s="46"/>
      <x:c r="I13" s="3"/>
      <x:c r="J13" s="3"/>
      <x:c r="K13" s="3"/>
      <x:c r="L13" s="3"/>
      <x:c r="M13" s="3"/>
      <x:c r="N13" s="3"/>
      <x:c r="O13" s="3"/>
      <x:c r="P13" s="3"/>
      <x:c r="Q13" s="3"/>
      <x:c r="R13" s="3"/>
    </x:row>
    <x:row r="14" ht="34" customHeight="1">
      <x:c r="A14" s="46"/>
      <x:c r="B14" s="46"/>
      <x:c r="C14" s="46"/>
      <x:c r="D14" s="46"/>
      <x:c r="E14" s="46"/>
      <x:c r="F14" s="46"/>
      <x:c r="G14" s="83" t="str">
        <x:f>IF(A14="","",IF(E14&lt;&gt;"Pass","HOLD - review safeguards",IF(OR(COUNT(C14:D14)&lt;2,C14&lt;1,C14&gt;5,D14&lt;1,D14&gt;5,MOD(C14,1)&lt;&gt;0,MOD(D14,1)&lt;&gt;0),"Enter valid 1-5 ratings",IF(C14&gt;='01 Setup'!$B$24,IF(D14&lt;='01 Setup'!$B$25,"Implement - test first","Challenge"),IF(D14&lt;='01 Setup'!$B$25,"Possible","Kill / do not pursue")))))</x:f>
      </x:c>
      <x:c r="H14" s="46"/>
      <x:c r="I14" s="3"/>
      <x:c r="J14" s="3"/>
      <x:c r="K14" s="3"/>
      <x:c r="L14" s="3"/>
      <x:c r="M14" s="3"/>
      <x:c r="N14" s="3"/>
      <x:c r="O14" s="3"/>
      <x:c r="P14" s="3"/>
      <x:c r="Q14" s="3"/>
      <x:c r="R14" s="3"/>
    </x:row>
    <x:row r="15" ht="34" customHeight="1">
      <x:c r="A15" s="46"/>
      <x:c r="B15" s="46"/>
      <x:c r="C15" s="46"/>
      <x:c r="D15" s="46"/>
      <x:c r="E15" s="46"/>
      <x:c r="F15" s="46"/>
      <x:c r="G15" s="83" t="str">
        <x:f>IF(A15="","",IF(E15&lt;&gt;"Pass","HOLD - review safeguards",IF(OR(COUNT(C15:D15)&lt;2,C15&lt;1,C15&gt;5,D15&lt;1,D15&gt;5,MOD(C15,1)&lt;&gt;0,MOD(D15,1)&lt;&gt;0),"Enter valid 1-5 ratings",IF(C15&gt;='01 Setup'!$B$24,IF(D15&lt;='01 Setup'!$B$25,"Implement - test first","Challenge"),IF(D15&lt;='01 Setup'!$B$25,"Possible","Kill / do not pursue")))))</x:f>
      </x:c>
      <x:c r="H15" s="46"/>
      <x:c r="I15" s="3"/>
      <x:c r="J15" s="3"/>
      <x:c r="K15" s="3"/>
      <x:c r="L15" s="3"/>
      <x:c r="M15" s="3"/>
      <x:c r="N15" s="3"/>
      <x:c r="O15" s="3"/>
      <x:c r="P15" s="3"/>
      <x:c r="Q15" s="3"/>
      <x:c r="R15" s="3"/>
    </x:row>
    <x:row r="16" ht="34" customHeight="1">
      <x:c r="A16" s="46"/>
      <x:c r="B16" s="46"/>
      <x:c r="C16" s="46"/>
      <x:c r="D16" s="46"/>
      <x:c r="E16" s="46"/>
      <x:c r="F16" s="46"/>
      <x:c r="G16" s="83" t="str">
        <x:f>IF(A16="","",IF(E16&lt;&gt;"Pass","HOLD - review safeguards",IF(OR(COUNT(C16:D16)&lt;2,C16&lt;1,C16&gt;5,D16&lt;1,D16&gt;5,MOD(C16,1)&lt;&gt;0,MOD(D16,1)&lt;&gt;0),"Enter valid 1-5 ratings",IF(C16&gt;='01 Setup'!$B$24,IF(D16&lt;='01 Setup'!$B$25,"Implement - test first","Challenge"),IF(D16&lt;='01 Setup'!$B$25,"Possible","Kill / do not pursue")))))</x:f>
      </x:c>
      <x:c r="H16" s="46"/>
      <x:c r="I16" s="3"/>
      <x:c r="J16" s="3"/>
      <x:c r="K16" s="3"/>
      <x:c r="L16" s="3"/>
      <x:c r="M16" s="3"/>
      <x:c r="N16" s="3"/>
      <x:c r="O16" s="3"/>
      <x:c r="P16" s="3"/>
      <x:c r="Q16" s="3"/>
      <x:c r="R16" s="3"/>
    </x:row>
    <x:row r="17" ht="34" customHeight="1">
      <x:c r="A17" s="46"/>
      <x:c r="B17" s="46"/>
      <x:c r="C17" s="46"/>
      <x:c r="D17" s="46"/>
      <x:c r="E17" s="46"/>
      <x:c r="F17" s="46"/>
      <x:c r="G17" s="83" t="str">
        <x:f>IF(A17="","",IF(E17&lt;&gt;"Pass","HOLD - review safeguards",IF(OR(COUNT(C17:D17)&lt;2,C17&lt;1,C17&gt;5,D17&lt;1,D17&gt;5,MOD(C17,1)&lt;&gt;0,MOD(D17,1)&lt;&gt;0),"Enter valid 1-5 ratings",IF(C17&gt;='01 Setup'!$B$24,IF(D17&lt;='01 Setup'!$B$25,"Implement - test first","Challenge"),IF(D17&lt;='01 Setup'!$B$25,"Possible","Kill / do not pursue")))))</x:f>
      </x:c>
      <x:c r="H17" s="46"/>
      <x:c r="I17" s="3"/>
      <x:c r="J17" s="3"/>
      <x:c r="K17" s="3"/>
      <x:c r="L17" s="3"/>
      <x:c r="M17" s="3"/>
      <x:c r="N17" s="3"/>
      <x:c r="O17" s="3"/>
      <x:c r="P17" s="3"/>
      <x:c r="Q17" s="3"/>
      <x:c r="R17" s="3"/>
    </x:row>
    <x:row r="18" ht="34" customHeight="1">
      <x:c r="A18" s="46"/>
      <x:c r="B18" s="46"/>
      <x:c r="C18" s="46"/>
      <x:c r="D18" s="46"/>
      <x:c r="E18" s="46"/>
      <x:c r="F18" s="46"/>
      <x:c r="G18" s="83" t="str">
        <x:f>IF(A18="","",IF(E18&lt;&gt;"Pass","HOLD - review safeguards",IF(OR(COUNT(C18:D18)&lt;2,C18&lt;1,C18&gt;5,D18&lt;1,D18&gt;5,MOD(C18,1)&lt;&gt;0,MOD(D18,1)&lt;&gt;0),"Enter valid 1-5 ratings",IF(C18&gt;='01 Setup'!$B$24,IF(D18&lt;='01 Setup'!$B$25,"Implement - test first","Challenge"),IF(D18&lt;='01 Setup'!$B$25,"Possible","Kill / do not pursue")))))</x:f>
      </x:c>
      <x:c r="H18" s="46"/>
      <x:c r="I18" s="3"/>
      <x:c r="J18" s="3"/>
      <x:c r="K18" s="3"/>
      <x:c r="L18" s="3"/>
      <x:c r="M18" s="3"/>
      <x:c r="N18" s="3"/>
      <x:c r="O18" s="3"/>
      <x:c r="P18" s="3"/>
      <x:c r="Q18" s="3"/>
      <x:c r="R18" s="3"/>
    </x:row>
    <x:row r="19" ht="34" customHeight="1">
      <x:c r="A19" s="46"/>
      <x:c r="B19" s="46"/>
      <x:c r="C19" s="46"/>
      <x:c r="D19" s="46"/>
      <x:c r="E19" s="46"/>
      <x:c r="F19" s="46"/>
      <x:c r="G19" s="83" t="str">
        <x:f>IF(A19="","",IF(E19&lt;&gt;"Pass","HOLD - review safeguards",IF(OR(COUNT(C19:D19)&lt;2,C19&lt;1,C19&gt;5,D19&lt;1,D19&gt;5,MOD(C19,1)&lt;&gt;0,MOD(D19,1)&lt;&gt;0),"Enter valid 1-5 ratings",IF(C19&gt;='01 Setup'!$B$24,IF(D19&lt;='01 Setup'!$B$25,"Implement - test first","Challenge"),IF(D19&lt;='01 Setup'!$B$25,"Possible","Kill / do not pursue")))))</x:f>
      </x:c>
      <x:c r="H19" s="46"/>
      <x:c r="I19" s="3"/>
      <x:c r="J19" s="3"/>
      <x:c r="K19" s="3"/>
      <x:c r="L19" s="3"/>
      <x:c r="M19" s="3"/>
      <x:c r="N19" s="3"/>
      <x:c r="O19" s="3"/>
      <x:c r="P19" s="3"/>
      <x:c r="Q19" s="3"/>
      <x:c r="R19" s="3"/>
    </x:row>
    <x:row r="20" ht="34" customHeight="1">
      <x:c r="A20" s="46"/>
      <x:c r="B20" s="46"/>
      <x:c r="C20" s="46"/>
      <x:c r="D20" s="46"/>
      <x:c r="E20" s="46"/>
      <x:c r="F20" s="46"/>
      <x:c r="G20" s="83" t="str">
        <x:f>IF(A20="","",IF(E20&lt;&gt;"Pass","HOLD - review safeguards",IF(OR(COUNT(C20:D20)&lt;2,C20&lt;1,C20&gt;5,D20&lt;1,D20&gt;5,MOD(C20,1)&lt;&gt;0,MOD(D20,1)&lt;&gt;0),"Enter valid 1-5 ratings",IF(C20&gt;='01 Setup'!$B$24,IF(D20&lt;='01 Setup'!$B$25,"Implement - test first","Challenge"),IF(D20&lt;='01 Setup'!$B$25,"Possible","Kill / do not pursue")))))</x:f>
      </x:c>
      <x:c r="H20" s="46"/>
      <x:c r="I20" s="3"/>
      <x:c r="J20" s="3"/>
      <x:c r="K20" s="3"/>
      <x:c r="L20" s="3"/>
      <x:c r="M20" s="3"/>
      <x:c r="N20" s="3"/>
      <x:c r="O20" s="3"/>
      <x:c r="P20" s="3"/>
      <x:c r="Q20" s="3"/>
      <x:c r="R20" s="3"/>
    </x:row>
    <x:row r="21" ht="34" customHeight="1">
      <x:c r="A21" s="46"/>
      <x:c r="B21" s="46"/>
      <x:c r="C21" s="46"/>
      <x:c r="D21" s="46"/>
      <x:c r="E21" s="46"/>
      <x:c r="F21" s="46"/>
      <x:c r="G21" s="83" t="str">
        <x:f>IF(A21="","",IF(E21&lt;&gt;"Pass","HOLD - review safeguards",IF(OR(COUNT(C21:D21)&lt;2,C21&lt;1,C21&gt;5,D21&lt;1,D21&gt;5,MOD(C21,1)&lt;&gt;0,MOD(D21,1)&lt;&gt;0),"Enter valid 1-5 ratings",IF(C21&gt;='01 Setup'!$B$24,IF(D21&lt;='01 Setup'!$B$25,"Implement - test first","Challenge"),IF(D21&lt;='01 Setup'!$B$25,"Possible","Kill / do not pursue")))))</x:f>
      </x:c>
      <x:c r="H21" s="46"/>
      <x:c r="I21" s="3"/>
      <x:c r="J21" s="3"/>
      <x:c r="K21" s="3"/>
      <x:c r="L21" s="3"/>
      <x:c r="M21" s="3"/>
      <x:c r="N21" s="3"/>
      <x:c r="O21" s="3"/>
      <x:c r="P21" s="3"/>
      <x:c r="Q21" s="3"/>
      <x:c r="R21" s="3"/>
    </x:row>
    <x:row r="22" ht="34" customHeight="1">
      <x:c r="A22" s="46"/>
      <x:c r="B22" s="46"/>
      <x:c r="C22" s="46"/>
      <x:c r="D22" s="46"/>
      <x:c r="E22" s="46"/>
      <x:c r="F22" s="46"/>
      <x:c r="G22" s="83" t="str">
        <x:f>IF(A22="","",IF(E22&lt;&gt;"Pass","HOLD - review safeguards",IF(OR(COUNT(C22:D22)&lt;2,C22&lt;1,C22&gt;5,D22&lt;1,D22&gt;5,MOD(C22,1)&lt;&gt;0,MOD(D22,1)&lt;&gt;0),"Enter valid 1-5 ratings",IF(C22&gt;='01 Setup'!$B$24,IF(D22&lt;='01 Setup'!$B$25,"Implement - test first","Challenge"),IF(D22&lt;='01 Setup'!$B$25,"Possible","Kill / do not pursue")))))</x:f>
      </x:c>
      <x:c r="H22" s="46"/>
      <x:c r="I22" s="3"/>
      <x:c r="J22" s="3"/>
      <x:c r="K22" s="3"/>
      <x:c r="L22" s="3"/>
      <x:c r="M22" s="3"/>
      <x:c r="N22" s="3"/>
      <x:c r="O22" s="3"/>
      <x:c r="P22" s="3"/>
      <x:c r="Q22" s="3"/>
      <x:c r="R22" s="3"/>
    </x:row>
    <x:row r="23" ht="34" customHeight="1">
      <x:c r="A23" s="46"/>
      <x:c r="B23" s="46"/>
      <x:c r="C23" s="46"/>
      <x:c r="D23" s="46"/>
      <x:c r="E23" s="46"/>
      <x:c r="F23" s="46"/>
      <x:c r="G23" s="83" t="str">
        <x:f>IF(A23="","",IF(E23&lt;&gt;"Pass","HOLD - review safeguards",IF(OR(COUNT(C23:D23)&lt;2,C23&lt;1,C23&gt;5,D23&lt;1,D23&gt;5,MOD(C23,1)&lt;&gt;0,MOD(D23,1)&lt;&gt;0),"Enter valid 1-5 ratings",IF(C23&gt;='01 Setup'!$B$24,IF(D23&lt;='01 Setup'!$B$25,"Implement - test first","Challenge"),IF(D23&lt;='01 Setup'!$B$25,"Possible","Kill / do not pursue")))))</x:f>
      </x:c>
      <x:c r="H23" s="46"/>
      <x:c r="I23" s="3"/>
      <x:c r="J23" s="3"/>
      <x:c r="K23" s="3"/>
      <x:c r="L23" s="3"/>
      <x:c r="M23" s="3"/>
      <x:c r="N23" s="3"/>
      <x:c r="O23" s="3"/>
      <x:c r="P23" s="3"/>
      <x:c r="Q23" s="3"/>
      <x:c r="R23" s="3"/>
    </x:row>
    <x:row r="24" ht="34" customHeight="1">
      <x:c r="A24" s="46"/>
      <x:c r="B24" s="46"/>
      <x:c r="C24" s="46"/>
      <x:c r="D24" s="46"/>
      <x:c r="E24" s="46"/>
      <x:c r="F24" s="46"/>
      <x:c r="G24" s="83" t="str">
        <x:f>IF(A24="","",IF(E24&lt;&gt;"Pass","HOLD - review safeguards",IF(OR(COUNT(C24:D24)&lt;2,C24&lt;1,C24&gt;5,D24&lt;1,D24&gt;5,MOD(C24,1)&lt;&gt;0,MOD(D24,1)&lt;&gt;0),"Enter valid 1-5 ratings",IF(C24&gt;='01 Setup'!$B$24,IF(D24&lt;='01 Setup'!$B$25,"Implement - test first","Challenge"),IF(D24&lt;='01 Setup'!$B$25,"Possible","Kill / do not pursue")))))</x:f>
      </x:c>
      <x:c r="H24" s="46"/>
      <x:c r="I24" s="3"/>
      <x:c r="J24" s="3"/>
      <x:c r="K24" s="3"/>
      <x:c r="L24" s="3"/>
      <x:c r="M24" s="3"/>
      <x:c r="N24" s="3"/>
      <x:c r="O24" s="3"/>
      <x:c r="P24" s="3"/>
      <x:c r="Q24" s="3"/>
      <x:c r="R24" s="3"/>
    </x:row>
    <x:row r="25" ht="34" customHeight="1">
      <x:c r="A25" s="46"/>
      <x:c r="B25" s="46"/>
      <x:c r="C25" s="46"/>
      <x:c r="D25" s="46"/>
      <x:c r="E25" s="46"/>
      <x:c r="F25" s="46"/>
      <x:c r="G25" s="83" t="str">
        <x:f>IF(A25="","",IF(E25&lt;&gt;"Pass","HOLD - review safeguards",IF(OR(COUNT(C25:D25)&lt;2,C25&lt;1,C25&gt;5,D25&lt;1,D25&gt;5,MOD(C25,1)&lt;&gt;0,MOD(D25,1)&lt;&gt;0),"Enter valid 1-5 ratings",IF(C25&gt;='01 Setup'!$B$24,IF(D25&lt;='01 Setup'!$B$25,"Implement - test first","Challenge"),IF(D25&lt;='01 Setup'!$B$25,"Possible","Kill / do not pursue")))))</x:f>
      </x:c>
      <x:c r="H25" s="46"/>
      <x:c r="I25" s="3"/>
      <x:c r="J25" s="3"/>
      <x:c r="K25" s="3"/>
      <x:c r="L25" s="3"/>
      <x:c r="M25" s="3"/>
      <x:c r="N25" s="3"/>
      <x:c r="O25" s="3"/>
      <x:c r="P25" s="3"/>
      <x:c r="Q25" s="3"/>
      <x:c r="R25" s="3"/>
    </x:row>
    <x:row r="26" ht="34" customHeight="1">
      <x:c r="A26" s="46"/>
      <x:c r="B26" s="46"/>
      <x:c r="C26" s="46"/>
      <x:c r="D26" s="46"/>
      <x:c r="E26" s="46"/>
      <x:c r="F26" s="46"/>
      <x:c r="G26" s="83" t="str">
        <x:f>IF(A26="","",IF(E26&lt;&gt;"Pass","HOLD - review safeguards",IF(OR(COUNT(C26:D26)&lt;2,C26&lt;1,C26&gt;5,D26&lt;1,D26&gt;5,MOD(C26,1)&lt;&gt;0,MOD(D26,1)&lt;&gt;0),"Enter valid 1-5 ratings",IF(C26&gt;='01 Setup'!$B$24,IF(D26&lt;='01 Setup'!$B$25,"Implement - test first","Challenge"),IF(D26&lt;='01 Setup'!$B$25,"Possible","Kill / do not pursue")))))</x:f>
      </x:c>
      <x:c r="H26" s="46"/>
      <x:c r="I26" s="3"/>
      <x:c r="J26" s="3"/>
      <x:c r="K26" s="3"/>
      <x:c r="L26" s="3"/>
      <x:c r="M26" s="3"/>
      <x:c r="N26" s="3"/>
      <x:c r="O26" s="3"/>
      <x:c r="P26" s="3"/>
      <x:c r="Q26" s="3"/>
      <x:c r="R26" s="3"/>
    </x:row>
    <x:row r="27" ht="34" customHeight="1">
      <x:c r="A27" s="46"/>
      <x:c r="B27" s="46"/>
      <x:c r="C27" s="46"/>
      <x:c r="D27" s="46"/>
      <x:c r="E27" s="46"/>
      <x:c r="F27" s="46"/>
      <x:c r="G27" s="83" t="str">
        <x:f>IF(A27="","",IF(E27&lt;&gt;"Pass","HOLD - review safeguards",IF(OR(COUNT(C27:D27)&lt;2,C27&lt;1,C27&gt;5,D27&lt;1,D27&gt;5,MOD(C27,1)&lt;&gt;0,MOD(D27,1)&lt;&gt;0),"Enter valid 1-5 ratings",IF(C27&gt;='01 Setup'!$B$24,IF(D27&lt;='01 Setup'!$B$25,"Implement - test first","Challenge"),IF(D27&lt;='01 Setup'!$B$25,"Possible","Kill / do not pursue")))))</x:f>
      </x:c>
      <x:c r="H27" s="46"/>
      <x:c r="I27" s="3"/>
      <x:c r="J27" s="3"/>
      <x:c r="K27" s="3"/>
      <x:c r="L27" s="3"/>
      <x:c r="M27" s="3"/>
      <x:c r="N27" s="3"/>
      <x:c r="O27" s="3"/>
      <x:c r="P27" s="3"/>
      <x:c r="Q27" s="3"/>
      <x:c r="R27" s="3"/>
    </x:row>
    <x:row r="28" ht="34" customHeight="1">
      <x:c r="A28" s="46"/>
      <x:c r="B28" s="46"/>
      <x:c r="C28" s="46"/>
      <x:c r="D28" s="46"/>
      <x:c r="E28" s="46"/>
      <x:c r="F28" s="46"/>
      <x:c r="G28" s="83" t="str">
        <x:f>IF(A28="","",IF(E28&lt;&gt;"Pass","HOLD - review safeguards",IF(OR(COUNT(C28:D28)&lt;2,C28&lt;1,C28&gt;5,D28&lt;1,D28&gt;5,MOD(C28,1)&lt;&gt;0,MOD(D28,1)&lt;&gt;0),"Enter valid 1-5 ratings",IF(C28&gt;='01 Setup'!$B$24,IF(D28&lt;='01 Setup'!$B$25,"Implement - test first","Challenge"),IF(D28&lt;='01 Setup'!$B$25,"Possible","Kill / do not pursue")))))</x:f>
      </x:c>
      <x:c r="H28" s="46"/>
      <x:c r="I28" s="3"/>
      <x:c r="J28" s="3"/>
      <x:c r="K28" s="3"/>
      <x:c r="L28" s="3"/>
      <x:c r="M28" s="3"/>
      <x:c r="N28" s="3"/>
      <x:c r="O28" s="3"/>
      <x:c r="P28" s="3"/>
      <x:c r="Q28" s="3"/>
      <x:c r="R28" s="3"/>
    </x:row>
    <x:row r="29" ht="34" customHeight="1">
      <x:c r="A29" s="46"/>
      <x:c r="B29" s="46"/>
      <x:c r="C29" s="46"/>
      <x:c r="D29" s="46"/>
      <x:c r="E29" s="46"/>
      <x:c r="F29" s="46"/>
      <x:c r="G29" s="83" t="str">
        <x:f>IF(A29="","",IF(E29&lt;&gt;"Pass","HOLD - review safeguards",IF(OR(COUNT(C29:D29)&lt;2,C29&lt;1,C29&gt;5,D29&lt;1,D29&gt;5,MOD(C29,1)&lt;&gt;0,MOD(D29,1)&lt;&gt;0),"Enter valid 1-5 ratings",IF(C29&gt;='01 Setup'!$B$24,IF(D29&lt;='01 Setup'!$B$25,"Implement - test first","Challenge"),IF(D29&lt;='01 Setup'!$B$25,"Possible","Kill / do not pursue")))))</x:f>
      </x:c>
      <x:c r="H29" s="46"/>
      <x:c r="I29" s="3"/>
      <x:c r="J29" s="3"/>
      <x:c r="K29" s="3"/>
      <x:c r="L29" s="3"/>
      <x:c r="M29" s="3"/>
      <x:c r="N29" s="3"/>
      <x:c r="O29" s="3"/>
      <x:c r="P29" s="3"/>
      <x:c r="Q29" s="3"/>
      <x:c r="R29" s="3"/>
    </x:row>
    <x:row r="30" ht="34" customHeight="1">
      <x:c r="A30" s="46"/>
      <x:c r="B30" s="46"/>
      <x:c r="C30" s="46"/>
      <x:c r="D30" s="46"/>
      <x:c r="E30" s="46"/>
      <x:c r="F30" s="46"/>
      <x:c r="G30" s="83" t="str">
        <x:f>IF(A30="","",IF(E30&lt;&gt;"Pass","HOLD - review safeguards",IF(OR(COUNT(C30:D30)&lt;2,C30&lt;1,C30&gt;5,D30&lt;1,D30&gt;5,MOD(C30,1)&lt;&gt;0,MOD(D30,1)&lt;&gt;0),"Enter valid 1-5 ratings",IF(C30&gt;='01 Setup'!$B$24,IF(D30&lt;='01 Setup'!$B$25,"Implement - test first","Challenge"),IF(D30&lt;='01 Setup'!$B$25,"Possible","Kill / do not pursue")))))</x:f>
      </x:c>
      <x:c r="H30" s="46"/>
      <x:c r="I30" s="3"/>
      <x:c r="J30" s="3"/>
      <x:c r="K30" s="3"/>
      <x:c r="L30" s="3"/>
      <x:c r="M30" s="3"/>
      <x:c r="N30" s="3"/>
      <x:c r="O30" s="3"/>
      <x:c r="P30" s="3"/>
      <x:c r="Q30" s="3"/>
      <x:c r="R30" s="3"/>
    </x:row>
    <x:row r="31" ht="34" customHeight="1">
      <x:c r="A31" s="46"/>
      <x:c r="B31" s="46"/>
      <x:c r="C31" s="46"/>
      <x:c r="D31" s="46"/>
      <x:c r="E31" s="46"/>
      <x:c r="F31" s="46"/>
      <x:c r="G31" s="83" t="str">
        <x:f>IF(A31="","",IF(E31&lt;&gt;"Pass","HOLD - review safeguards",IF(OR(COUNT(C31:D31)&lt;2,C31&lt;1,C31&gt;5,D31&lt;1,D31&gt;5,MOD(C31,1)&lt;&gt;0,MOD(D31,1)&lt;&gt;0),"Enter valid 1-5 ratings",IF(C31&gt;='01 Setup'!$B$24,IF(D31&lt;='01 Setup'!$B$25,"Implement - test first","Challenge"),IF(D31&lt;='01 Setup'!$B$25,"Possible","Kill / do not pursue")))))</x:f>
      </x:c>
      <x:c r="H31" s="46"/>
      <x:c r="I31" s="3"/>
      <x:c r="J31" s="3"/>
      <x:c r="K31" s="3"/>
      <x:c r="L31" s="3"/>
      <x:c r="M31" s="3"/>
      <x:c r="N31" s="3"/>
      <x:c r="O31" s="3"/>
      <x:c r="P31" s="3"/>
      <x:c r="Q31" s="3"/>
      <x:c r="R31" s="3"/>
    </x:row>
    <x:row r="32" ht="34" customHeight="1">
      <x:c r="A32" s="46"/>
      <x:c r="B32" s="46"/>
      <x:c r="C32" s="46"/>
      <x:c r="D32" s="46"/>
      <x:c r="E32" s="46"/>
      <x:c r="F32" s="46"/>
      <x:c r="G32" s="83" t="str">
        <x:f>IF(A32="","",IF(E32&lt;&gt;"Pass","HOLD - review safeguards",IF(OR(COUNT(C32:D32)&lt;2,C32&lt;1,C32&gt;5,D32&lt;1,D32&gt;5,MOD(C32,1)&lt;&gt;0,MOD(D32,1)&lt;&gt;0),"Enter valid 1-5 ratings",IF(C32&gt;='01 Setup'!$B$24,IF(D32&lt;='01 Setup'!$B$25,"Implement - test first","Challenge"),IF(D32&lt;='01 Setup'!$B$25,"Possible","Kill / do not pursue")))))</x:f>
      </x:c>
      <x:c r="H32" s="46"/>
      <x:c r="I32" s="3"/>
      <x:c r="J32" s="3"/>
      <x:c r="K32" s="3"/>
      <x:c r="L32" s="3"/>
      <x:c r="M32" s="3"/>
      <x:c r="N32" s="3"/>
      <x:c r="O32" s="3"/>
      <x:c r="P32" s="3"/>
      <x:c r="Q32" s="3"/>
      <x:c r="R32" s="3"/>
    </x:row>
    <x:row r="33" ht="34" customHeight="1">
      <x:c r="A33" s="46"/>
      <x:c r="B33" s="46"/>
      <x:c r="C33" s="46"/>
      <x:c r="D33" s="46"/>
      <x:c r="E33" s="46"/>
      <x:c r="F33" s="46"/>
      <x:c r="G33" s="83" t="str">
        <x:f>IF(A33="","",IF(E33&lt;&gt;"Pass","HOLD - review safeguards",IF(OR(COUNT(C33:D33)&lt;2,C33&lt;1,C33&gt;5,D33&lt;1,D33&gt;5,MOD(C33,1)&lt;&gt;0,MOD(D33,1)&lt;&gt;0),"Enter valid 1-5 ratings",IF(C33&gt;='01 Setup'!$B$24,IF(D33&lt;='01 Setup'!$B$25,"Implement - test first","Challenge"),IF(D33&lt;='01 Setup'!$B$25,"Possible","Kill / do not pursue")))))</x:f>
      </x:c>
      <x:c r="H33" s="46"/>
      <x:c r="I33" s="3"/>
      <x:c r="J33" s="3"/>
      <x:c r="K33" s="3"/>
      <x:c r="L33" s="3"/>
      <x:c r="M33" s="3"/>
      <x:c r="N33" s="3"/>
      <x:c r="O33" s="3"/>
      <x:c r="P33" s="3"/>
      <x:c r="Q33" s="3"/>
      <x:c r="R33" s="3"/>
    </x:row>
    <x:row r="34" ht="34" customHeight="1">
      <x:c r="A34" s="46"/>
      <x:c r="B34" s="46"/>
      <x:c r="C34" s="46"/>
      <x:c r="D34" s="46"/>
      <x:c r="E34" s="46"/>
      <x:c r="F34" s="46"/>
      <x:c r="G34" s="83" t="str">
        <x:f>IF(A34="","",IF(E34&lt;&gt;"Pass","HOLD - review safeguards",IF(OR(COUNT(C34:D34)&lt;2,C34&lt;1,C34&gt;5,D34&lt;1,D34&gt;5,MOD(C34,1)&lt;&gt;0,MOD(D34,1)&lt;&gt;0),"Enter valid 1-5 ratings",IF(C34&gt;='01 Setup'!$B$24,IF(D34&lt;='01 Setup'!$B$25,"Implement - test first","Challenge"),IF(D34&lt;='01 Setup'!$B$25,"Possible","Kill / do not pursue")))))</x:f>
      </x:c>
      <x:c r="H34" s="46"/>
      <x:c r="I34" s="3"/>
      <x:c r="J34" s="3"/>
      <x:c r="K34" s="3"/>
      <x:c r="L34" s="3"/>
      <x:c r="M34" s="3"/>
      <x:c r="N34" s="3"/>
      <x:c r="O34" s="3"/>
      <x:c r="P34" s="3"/>
      <x:c r="Q34" s="3"/>
      <x:c r="R34" s="3"/>
    </x:row>
    <x:row r="35" ht="34" customHeight="1">
      <x:c r="A35" s="46"/>
      <x:c r="B35" s="46"/>
      <x:c r="C35" s="46"/>
      <x:c r="D35" s="46"/>
      <x:c r="E35" s="46"/>
      <x:c r="F35" s="46"/>
      <x:c r="G35" s="83" t="str">
        <x:f>IF(A35="","",IF(E35&lt;&gt;"Pass","HOLD - review safeguards",IF(OR(COUNT(C35:D35)&lt;2,C35&lt;1,C35&gt;5,D35&lt;1,D35&gt;5,MOD(C35,1)&lt;&gt;0,MOD(D35,1)&lt;&gt;0),"Enter valid 1-5 ratings",IF(C35&gt;='01 Setup'!$B$24,IF(D35&lt;='01 Setup'!$B$25,"Implement - test first","Challenge"),IF(D35&lt;='01 Setup'!$B$25,"Possible","Kill / do not pursue")))))</x:f>
      </x:c>
      <x:c r="H35" s="46"/>
      <x:c r="I35" s="3"/>
      <x:c r="J35" s="3"/>
      <x:c r="K35" s="3"/>
      <x:c r="L35" s="3"/>
      <x:c r="M35" s="3"/>
      <x:c r="N35" s="3"/>
      <x:c r="O35" s="3"/>
      <x:c r="P35" s="3"/>
      <x:c r="Q35" s="3"/>
      <x:c r="R35" s="3"/>
    </x:row>
    <x:row r="36" ht="34" customHeight="1">
      <x:c r="A36" s="46"/>
      <x:c r="B36" s="46"/>
      <x:c r="C36" s="46"/>
      <x:c r="D36" s="46"/>
      <x:c r="E36" s="46"/>
      <x:c r="F36" s="46"/>
      <x:c r="G36" s="83" t="str">
        <x:f>IF(A36="","",IF(E36&lt;&gt;"Pass","HOLD - review safeguards",IF(OR(COUNT(C36:D36)&lt;2,C36&lt;1,C36&gt;5,D36&lt;1,D36&gt;5,MOD(C36,1)&lt;&gt;0,MOD(D36,1)&lt;&gt;0),"Enter valid 1-5 ratings",IF(C36&gt;='01 Setup'!$B$24,IF(D36&lt;='01 Setup'!$B$25,"Implement - test first","Challenge"),IF(D36&lt;='01 Setup'!$B$25,"Possible","Kill / do not pursue")))))</x:f>
      </x:c>
      <x:c r="H36" s="46"/>
      <x:c r="I36" s="3"/>
      <x:c r="J36" s="3"/>
      <x:c r="K36" s="3"/>
      <x:c r="L36" s="3"/>
      <x:c r="M36" s="3"/>
      <x:c r="N36" s="3"/>
      <x:c r="O36" s="3"/>
      <x:c r="P36" s="3"/>
      <x:c r="Q36" s="3"/>
      <x:c r="R36" s="3"/>
    </x:row>
    <x:row r="37" ht="34" customHeight="1">
      <x:c r="A37" s="46"/>
      <x:c r="B37" s="46"/>
      <x:c r="C37" s="46"/>
      <x:c r="D37" s="46"/>
      <x:c r="E37" s="46"/>
      <x:c r="F37" s="46"/>
      <x:c r="G37" s="83" t="str">
        <x:f>IF(A37="","",IF(E37&lt;&gt;"Pass","HOLD - review safeguards",IF(OR(COUNT(C37:D37)&lt;2,C37&lt;1,C37&gt;5,D37&lt;1,D37&gt;5,MOD(C37,1)&lt;&gt;0,MOD(D37,1)&lt;&gt;0),"Enter valid 1-5 ratings",IF(C37&gt;='01 Setup'!$B$24,IF(D37&lt;='01 Setup'!$B$25,"Implement - test first","Challenge"),IF(D37&lt;='01 Setup'!$B$25,"Possible","Kill / do not pursue")))))</x:f>
      </x:c>
      <x:c r="H37" s="46"/>
      <x:c r="I37" s="3"/>
      <x:c r="J37" s="3"/>
      <x:c r="K37" s="3"/>
      <x:c r="L37" s="3"/>
      <x:c r="M37" s="3"/>
      <x:c r="N37" s="3"/>
      <x:c r="O37" s="3"/>
      <x:c r="P37" s="3"/>
      <x:c r="Q37" s="3"/>
      <x:c r="R37" s="3"/>
    </x:row>
    <x:row r="38" ht="34" customHeight="1">
      <x:c r="A38" s="46"/>
      <x:c r="B38" s="46"/>
      <x:c r="C38" s="46"/>
      <x:c r="D38" s="46"/>
      <x:c r="E38" s="46"/>
      <x:c r="F38" s="46"/>
      <x:c r="G38" s="83" t="str">
        <x:f>IF(A38="","",IF(E38&lt;&gt;"Pass","HOLD - review safeguards",IF(OR(COUNT(C38:D38)&lt;2,C38&lt;1,C38&gt;5,D38&lt;1,D38&gt;5,MOD(C38,1)&lt;&gt;0,MOD(D38,1)&lt;&gt;0),"Enter valid 1-5 ratings",IF(C38&gt;='01 Setup'!$B$24,IF(D38&lt;='01 Setup'!$B$25,"Implement - test first","Challenge"),IF(D38&lt;='01 Setup'!$B$25,"Possible","Kill / do not pursue")))))</x:f>
      </x:c>
      <x:c r="H38" s="46"/>
      <x:c r="I38" s="3"/>
      <x:c r="J38" s="3"/>
      <x:c r="K38" s="3"/>
      <x:c r="L38" s="3"/>
      <x:c r="M38" s="3"/>
      <x:c r="N38" s="3"/>
      <x:c r="O38" s="3"/>
      <x:c r="P38" s="3"/>
      <x:c r="Q38" s="3"/>
      <x:c r="R38" s="3"/>
    </x:row>
    <x:row r="39" ht="34" customHeight="1">
      <x:c r="A39" s="46"/>
      <x:c r="B39" s="46"/>
      <x:c r="C39" s="46"/>
      <x:c r="D39" s="46"/>
      <x:c r="E39" s="46"/>
      <x:c r="F39" s="46"/>
      <x:c r="G39" s="83" t="str">
        <x:f>IF(A39="","",IF(E39&lt;&gt;"Pass","HOLD - review safeguards",IF(OR(COUNT(C39:D39)&lt;2,C39&lt;1,C39&gt;5,D39&lt;1,D39&gt;5,MOD(C39,1)&lt;&gt;0,MOD(D39,1)&lt;&gt;0),"Enter valid 1-5 ratings",IF(C39&gt;='01 Setup'!$B$24,IF(D39&lt;='01 Setup'!$B$25,"Implement - test first","Challenge"),IF(D39&lt;='01 Setup'!$B$25,"Possible","Kill / do not pursue")))))</x:f>
      </x:c>
      <x:c r="H39" s="46"/>
      <x:c r="I39" s="3"/>
      <x:c r="J39" s="3"/>
      <x:c r="K39" s="3"/>
      <x:c r="L39" s="3"/>
      <x:c r="M39" s="3"/>
      <x:c r="N39" s="3"/>
      <x:c r="O39" s="3"/>
      <x:c r="P39" s="3"/>
      <x:c r="Q39" s="3"/>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20" customHeight="1">
      <x:c r="A42" s="3"/>
      <x:c r="B42" s="3"/>
      <x:c r="C42" s="3"/>
      <x:c r="D42" s="3"/>
      <x:c r="E42" s="3"/>
      <x:c r="F42" s="3"/>
      <x:c r="G42" s="3"/>
      <x:c r="H42" s="3"/>
      <x:c r="I42" s="3"/>
      <x:c r="J42" s="3"/>
      <x:c r="K42" s="3"/>
      <x:c r="L42" s="3"/>
      <x:c r="M42" s="3"/>
      <x:c r="N42" s="3"/>
      <x:c r="O42" s="3"/>
      <x:c r="P42" s="3"/>
      <x:c r="Q42" s="3"/>
      <x:c r="R42" s="3"/>
    </x:row>
    <x:row r="43" ht="20" customHeight="1">
      <x:c r="A43" s="17" t="str">
        <x:v>PICK is a local discussion aid. Benefit &gt;= Setup B24 is high; effort &lt;= Setup B25 is easy. Passing mandatory checks does not itself authorise implementation. Select a safe PDSA test and record evidence.</x:v>
      </x:c>
      <x:c r="B43" s="17"/>
      <x:c r="C43" s="17"/>
      <x:c r="D43" s="17"/>
      <x:c r="E43" s="17"/>
      <x:c r="F43" s="17"/>
      <x:c r="G43" s="17"/>
      <x:c r="H43" s="17"/>
      <x:c r="I43" s="17"/>
      <x:c r="J43" s="17"/>
      <x:c r="K43" s="17"/>
      <x:c r="L43" s="17"/>
      <x:c r="M43" s="3"/>
      <x:c r="N43" s="3"/>
      <x:c r="O43" s="3"/>
      <x:c r="P43" s="3"/>
      <x:c r="Q43" s="3"/>
      <x:c r="R43" s="3"/>
    </x:row>
    <x:row r="44" ht="20" customHeight="1">
      <x:c r="A44" s="17"/>
      <x:c r="B44" s="17"/>
      <x:c r="C44" s="17"/>
      <x:c r="D44" s="17"/>
      <x:c r="E44" s="17"/>
      <x:c r="F44" s="17"/>
      <x:c r="G44" s="17"/>
      <x:c r="H44" s="17"/>
      <x:c r="I44" s="17"/>
      <x:c r="J44" s="17"/>
      <x:c r="K44" s="17"/>
      <x:c r="L44" s="17"/>
      <x:c r="M44" s="3"/>
      <x:c r="N44" s="3"/>
      <x:c r="O44" s="3"/>
      <x:c r="P44" s="3"/>
      <x:c r="Q44" s="3"/>
      <x:c r="R44" s="3"/>
    </x:row>
    <x:row r="45" ht="20" customHeight="1">
      <x:c r="A45" s="17"/>
      <x:c r="B45" s="17"/>
      <x:c r="C45" s="17"/>
      <x:c r="D45" s="17"/>
      <x:c r="E45" s="17"/>
      <x:c r="F45" s="17"/>
      <x:c r="G45" s="17"/>
      <x:c r="H45" s="17"/>
      <x:c r="I45" s="17"/>
      <x:c r="J45" s="17"/>
      <x:c r="K45" s="17"/>
      <x:c r="L45" s="17"/>
      <x:c r="M45" s="3"/>
      <x:c r="N45" s="3"/>
      <x:c r="O45" s="3"/>
      <x:c r="P45" s="3"/>
      <x:c r="Q45" s="3"/>
      <x:c r="R45" s="3"/>
    </x:row>
    <x:row r="46" ht="20" customHeight="1">
      <x:c r="A46" s="17"/>
      <x:c r="B46" s="17"/>
      <x:c r="C46" s="17"/>
      <x:c r="D46" s="17"/>
      <x:c r="E46" s="17"/>
      <x:c r="F46" s="17"/>
      <x:c r="G46" s="17"/>
      <x:c r="H46" s="17"/>
      <x:c r="I46" s="17"/>
      <x:c r="J46" s="17"/>
      <x:c r="K46" s="17"/>
      <x:c r="L46" s="17"/>
      <x:c r="M46" s="3"/>
      <x:c r="N46" s="3"/>
      <x:c r="O46" s="3"/>
      <x:c r="P46" s="3"/>
      <x:c r="Q46" s="3"/>
      <x:c r="R46" s="3"/>
    </x:row>
    <x:row r="47" ht="20" customHeight="1">
      <x:c r="A47" s="3"/>
      <x:c r="B47" s="3"/>
      <x:c r="C47" s="3"/>
      <x:c r="D47" s="3"/>
      <x:c r="E47" s="3"/>
      <x:c r="F47" s="3"/>
      <x:c r="G47" s="3"/>
      <x:c r="H47" s="3"/>
      <x:c r="I47" s="3"/>
      <x:c r="J47" s="3"/>
      <x:c r="K47" s="3"/>
      <x:c r="L47" s="3"/>
      <x:c r="M47" s="3"/>
      <x:c r="N47" s="3"/>
      <x:c r="O47" s="3"/>
      <x:c r="P47" s="3"/>
      <x:c r="Q47" s="3"/>
      <x:c r="R47" s="3"/>
    </x:row>
    <x:row r="48" ht="20" customHeight="1">
      <x:c r="A48" s="3"/>
      <x:c r="B48" s="3"/>
      <x:c r="C48" s="3"/>
      <x:c r="D48" s="3"/>
      <x:c r="E48" s="3"/>
      <x:c r="F48" s="3"/>
      <x:c r="G48" s="3"/>
      <x:c r="H48" s="3"/>
      <x:c r="I48" s="3"/>
      <x:c r="J48" s="3"/>
      <x:c r="K48" s="3"/>
      <x:c r="L48" s="3"/>
      <x:c r="M48" s="3"/>
      <x:c r="N48" s="3"/>
      <x:c r="O48" s="3"/>
      <x:c r="P48" s="3"/>
      <x:c r="Q48" s="3"/>
      <x:c r="R48" s="3"/>
    </x:row>
    <x:row r="49" ht="20" customHeight="1">
      <x:c r="A49" s="3"/>
      <x:c r="B49" s="3"/>
      <x:c r="C49" s="3"/>
      <x:c r="D49" s="3"/>
      <x:c r="E49" s="3"/>
      <x:c r="F49" s="3"/>
      <x:c r="G49" s="3"/>
      <x:c r="H49" s="3"/>
      <x:c r="I49" s="3"/>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P11</x:v>
      </x:c>
      <x:c r="B110" s="34"/>
      <x:c r="C110" s="34"/>
      <x:c r="D110" s="34"/>
      <x:c r="E110" s="34"/>
      <x:c r="F110" s="34"/>
      <x:c r="G110" s="34"/>
      <x:c r="H110" s="34"/>
      <x:c r="I110" s="34"/>
      <x:c r="J110" s="34"/>
      <x:c r="K110" s="34"/>
      <x:c r="L110" s="34"/>
      <x:c r="M110" s="3"/>
      <x:c r="N110" s="3"/>
      <x:c r="O110" s="3"/>
      <x:c r="P110" s="3"/>
      <x:c r="Q110" s="3"/>
      <x:c r="R110" s="3"/>
    </x:row>
    <x:row r="111" ht="20" customHeight="1">
      <x:c r="A111" s="40" t="str">
        <x:v>01  Ideas and mechanisms</x:v>
      </x:c>
      <x:c r="B111" s="40"/>
      <x:c r="C111" s="40"/>
      <x:c r="D111" s="17" t="str">
        <x:v>Describe options and why they might work.</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Mandatory conditions</x:v>
      </x:c>
      <x:c r="B117" s="40"/>
      <x:c r="C117" s="40"/>
      <x:c r="D117" s="17" t="str">
        <x:v>Record pass, fail or unresolved requirements.</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Impact judgement</x:v>
      </x:c>
      <x:c r="B123" s="40"/>
      <x:c r="C123" s="40"/>
      <x:c r="D123" s="17" t="str">
        <x:v>Define high/low impact and supporting evidence.</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Effort judgement</x:v>
      </x:c>
      <x:c r="B129" s="40"/>
      <x:c r="C129" s="40"/>
      <x:c r="D129" s="17" t="str">
        <x:v>Include test effort, disruption and support.</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PICK position</x:v>
      </x:c>
      <x:c r="B135" s="40"/>
      <x:c r="C135" s="40"/>
      <x:c r="D135" s="17" t="str">
        <x:v>Record quadrant, confidence and rationale.</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Selected test</x:v>
      </x:c>
      <x:c r="B141" s="40"/>
      <x:c r="C141" s="40"/>
      <x:c r="D141" s="17" t="str">
        <x:v>State decision, owner and deferred items.</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PICK labels are prioritisation aids, not validated scores or probabilities. This toolkit uses Possible, Implement, Challenge and Kill/defer with explicit local definitions. "Implement" means a candidate for action subject to testing and approval, not permission to skip PDSA.</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P12, P13, V05  |  METHOD SOURCES: U04, R40</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 ref="A43:L46"/>
  </x:mergeCells>
  <x:dataValidations count="2">
    <x:dataValidation type="list" sqref="C10:D39">
      <x:formula1>"1,2,3,4,5"</x:formula1>
    </x:dataValidation>
    <x:dataValidation type="list" sqref="E10:E39">
      <x:formula1>"Pass,Hold,Unknown"</x:formula1>
    </x:dataValidation>
  </x:dataValidations>
  <x:pageMargins left="0.7" right="0.7" top="0.75" bottom="0.75" header="0.3" footer="0.3"/>
</x:worksheet>
</file>

<file path=xl/worksheets/sheet18.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P12  Test safeguards and stop rules</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Make the experiment safe, bounded and reversible before it starts.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P12</x:v>
      </x:c>
      <x:c r="B9" s="34"/>
      <x:c r="C9" s="34"/>
      <x:c r="D9" s="34"/>
      <x:c r="E9" s="34"/>
      <x:c r="F9" s="34"/>
      <x:c r="G9" s="34"/>
      <x:c r="H9" s="34"/>
      <x:c r="I9" s="34"/>
      <x:c r="J9" s="34"/>
      <x:c r="K9" s="34"/>
      <x:c r="L9" s="34"/>
      <x:c r="M9" s="3"/>
      <x:c r="N9" s="3"/>
      <x:c r="O9" s="3"/>
      <x:c r="P9" s="3"/>
      <x:c r="Q9" s="3"/>
      <x:c r="R9" s="3"/>
    </x:row>
    <x:row r="10" ht="20" customHeight="1">
      <x:c r="A10" s="40" t="str">
        <x:v>01  Risk event and affected people</x:v>
      </x:c>
      <x:c r="B10" s="40"/>
      <x:c r="C10" s="40"/>
      <x:c r="D10" s="17" t="str">
        <x:v>Describe cause, event and consequence.</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Controls to retain</x:v>
      </x:c>
      <x:c r="B16" s="40"/>
      <x:c r="C16" s="40"/>
      <x:c r="D16" s="17" t="str">
        <x:v>Specify checks that must not be removed.</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Assessment and uncertainty</x:v>
      </x:c>
      <x:c r="B22" s="40"/>
      <x:c r="C22" s="40"/>
      <x:c r="D22" s="17" t="str">
        <x:v>Record local likelihood/impact judgements.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Stop and contain</x:v>
      </x:c>
      <x:c r="B28" s="40"/>
      <x:c r="C28" s="40"/>
      <x:c r="D28" s="17" t="str">
        <x:v>State observable trigger and immediate response.</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Recovery and restart</x:v>
      </x:c>
      <x:c r="B34" s="40"/>
      <x:c r="C34" s="40"/>
      <x:c r="D34" s="17" t="str">
        <x:v>Define fallback, authority and conditions.</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Permission and briefing</x:v>
      </x:c>
      <x:c r="B40" s="40"/>
      <x:c r="C40" s="40"/>
      <x:c r="D40" s="17" t="str">
        <x:v>Name approver, scope and communication.</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Risk scores are ordinal prompts, not measured probabilities. A low score must not override a serious consequence or mandatory requirement. The toolkit is not a substitute for legal, privacy, clinical, cybersecurity or employment-relations advice.</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P13, D02, D05, F09  |  METHOD SOURCES: U01, R28</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4" t="str">
        <x:v>LIVE WORKING REGISTER | Add evidence, ownership and a review date.</x:v>
      </x:c>
      <x:c r="B53" s="34"/>
      <x:c r="C53" s="34"/>
      <x:c r="D53" s="34"/>
      <x:c r="E53" s="34"/>
      <x:c r="F53" s="34"/>
      <x:c r="G53" s="34"/>
      <x:c r="H53" s="34"/>
      <x:c r="I53" s="34"/>
      <x:c r="J53" s="34"/>
      <x:c r="K53" s="34"/>
      <x:c r="L53" s="34"/>
      <x:c r="M53" s="3"/>
      <x:c r="N53" s="3"/>
      <x:c r="O53" s="3"/>
      <x:c r="P53" s="3"/>
      <x:c r="Q53" s="3"/>
      <x:c r="R53" s="3"/>
    </x:row>
    <x:row r="54" ht="20" customHeight="1">
      <x:c r="A54" s="34"/>
      <x:c r="B54" s="34"/>
      <x:c r="C54" s="34"/>
      <x:c r="D54" s="34"/>
      <x:c r="E54" s="34"/>
      <x:c r="F54" s="34"/>
      <x:c r="G54" s="34"/>
      <x:c r="H54" s="34"/>
      <x:c r="I54" s="34"/>
      <x:c r="J54" s="34"/>
      <x:c r="K54" s="34"/>
      <x:c r="L54" s="34"/>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38" customHeight="1">
      <x:c r="A56" s="77" t="str">
        <x:v>Safeguard</x:v>
      </x:c>
      <x:c r="B56" s="77" t="str">
        <x:v>Hazard or exclusion</x:v>
      </x:c>
      <x:c r="C56" s="77" t="str">
        <x:v>Control retained</x:v>
      </x:c>
      <x:c r="D56" s="77" t="str">
        <x:v>Stop threshold</x:v>
      </x:c>
      <x:c r="E56" s="77" t="str">
        <x:v>Stop authority</x:v>
      </x:c>
      <x:c r="F56" s="77" t="str">
        <x:v>Recovery route</x:v>
      </x:c>
      <x:c r="G56" s="77" t="str">
        <x:v>Review evidence</x:v>
      </x:c>
      <x:c r="H56" s="3"/>
      <x:c r="I56" s="3"/>
      <x:c r="J56" s="3"/>
      <x:c r="K56" s="3"/>
      <x:c r="L56" s="3"/>
      <x:c r="M56" s="3"/>
      <x:c r="N56" s="3"/>
      <x:c r="O56" s="3"/>
      <x:c r="P56" s="3"/>
      <x:c r="Q56" s="3"/>
      <x:c r="R56" s="3"/>
    </x:row>
    <x:row r="57" ht="34" customHeight="1">
      <x:c r="A57" s="46"/>
      <x:c r="B57" s="46"/>
      <x:c r="C57" s="46"/>
      <x:c r="D57" s="46"/>
      <x:c r="E57" s="46"/>
      <x:c r="F57" s="46"/>
      <x:c r="G57" s="46"/>
      <x:c r="H57" s="3"/>
      <x:c r="I57" s="3"/>
      <x:c r="J57" s="3"/>
      <x:c r="K57" s="3"/>
      <x:c r="L57" s="3"/>
      <x:c r="M57" s="3"/>
      <x:c r="N57" s="3"/>
      <x:c r="O57" s="3"/>
      <x:c r="P57" s="3"/>
      <x:c r="Q57" s="3"/>
      <x:c r="R57" s="3"/>
    </x:row>
    <x:row r="58" ht="34" customHeight="1">
      <x:c r="A58" s="46"/>
      <x:c r="B58" s="46"/>
      <x:c r="C58" s="46"/>
      <x:c r="D58" s="46"/>
      <x:c r="E58" s="46"/>
      <x:c r="F58" s="46"/>
      <x:c r="G58" s="46"/>
      <x:c r="H58" s="3"/>
      <x:c r="I58" s="3"/>
      <x:c r="J58" s="3"/>
      <x:c r="K58" s="3"/>
      <x:c r="L58" s="3"/>
      <x:c r="M58" s="3"/>
      <x:c r="N58" s="3"/>
      <x:c r="O58" s="3"/>
      <x:c r="P58" s="3"/>
      <x:c r="Q58" s="3"/>
      <x:c r="R58" s="3"/>
    </x:row>
    <x:row r="59" ht="34" customHeight="1">
      <x:c r="A59" s="46"/>
      <x:c r="B59" s="46"/>
      <x:c r="C59" s="46"/>
      <x:c r="D59" s="46"/>
      <x:c r="E59" s="46"/>
      <x:c r="F59" s="46"/>
      <x:c r="G59" s="46"/>
      <x:c r="H59" s="3"/>
      <x:c r="I59" s="3"/>
      <x:c r="J59" s="3"/>
      <x:c r="K59" s="3"/>
      <x:c r="L59" s="3"/>
      <x:c r="M59" s="3"/>
      <x:c r="N59" s="3"/>
      <x:c r="O59" s="3"/>
      <x:c r="P59" s="3"/>
      <x:c r="Q59" s="3"/>
      <x:c r="R59" s="3"/>
    </x:row>
    <x:row r="60" ht="34" customHeight="1">
      <x:c r="A60" s="46"/>
      <x:c r="B60" s="46"/>
      <x:c r="C60" s="46"/>
      <x:c r="D60" s="46"/>
      <x:c r="E60" s="46"/>
      <x:c r="F60" s="46"/>
      <x:c r="G60" s="46"/>
      <x:c r="H60" s="3"/>
      <x:c r="I60" s="3"/>
      <x:c r="J60" s="3"/>
      <x:c r="K60" s="3"/>
      <x:c r="L60" s="3"/>
      <x:c r="M60" s="3"/>
      <x:c r="N60" s="3"/>
      <x:c r="O60" s="3"/>
      <x:c r="P60" s="3"/>
      <x:c r="Q60" s="3"/>
      <x:c r="R60" s="3"/>
    </x:row>
    <x:row r="61" ht="34" customHeight="1">
      <x:c r="A61" s="46"/>
      <x:c r="B61" s="46"/>
      <x:c r="C61" s="46"/>
      <x:c r="D61" s="46"/>
      <x:c r="E61" s="46"/>
      <x:c r="F61" s="46"/>
      <x:c r="G61" s="46"/>
      <x:c r="H61" s="3"/>
      <x:c r="I61" s="3"/>
      <x:c r="J61" s="3"/>
      <x:c r="K61" s="3"/>
      <x:c r="L61" s="3"/>
      <x:c r="M61" s="3"/>
      <x:c r="N61" s="3"/>
      <x:c r="O61" s="3"/>
      <x:c r="P61" s="3"/>
      <x:c r="Q61" s="3"/>
      <x:c r="R61" s="3"/>
    </x:row>
    <x:row r="62" ht="34" customHeight="1">
      <x:c r="A62" s="46"/>
      <x:c r="B62" s="46"/>
      <x:c r="C62" s="46"/>
      <x:c r="D62" s="46"/>
      <x:c r="E62" s="46"/>
      <x:c r="F62" s="46"/>
      <x:c r="G62" s="46"/>
      <x:c r="H62" s="3"/>
      <x:c r="I62" s="3"/>
      <x:c r="J62" s="3"/>
      <x:c r="K62" s="3"/>
      <x:c r="L62" s="3"/>
      <x:c r="M62" s="3"/>
      <x:c r="N62" s="3"/>
      <x:c r="O62" s="3"/>
      <x:c r="P62" s="3"/>
      <x:c r="Q62" s="3"/>
      <x:c r="R62" s="3"/>
    </x:row>
    <x:row r="63" ht="34" customHeight="1">
      <x:c r="A63" s="46"/>
      <x:c r="B63" s="46"/>
      <x:c r="C63" s="46"/>
      <x:c r="D63" s="46"/>
      <x:c r="E63" s="46"/>
      <x:c r="F63" s="46"/>
      <x:c r="G63" s="46"/>
      <x:c r="H63" s="3"/>
      <x:c r="I63" s="3"/>
      <x:c r="J63" s="3"/>
      <x:c r="K63" s="3"/>
      <x:c r="L63" s="3"/>
      <x:c r="M63" s="3"/>
      <x:c r="N63" s="3"/>
      <x:c r="O63" s="3"/>
      <x:c r="P63" s="3"/>
      <x:c r="Q63" s="3"/>
      <x:c r="R63" s="3"/>
    </x:row>
    <x:row r="64" ht="34" customHeight="1">
      <x:c r="A64" s="46"/>
      <x:c r="B64" s="46"/>
      <x:c r="C64" s="46"/>
      <x:c r="D64" s="46"/>
      <x:c r="E64" s="46"/>
      <x:c r="F64" s="46"/>
      <x:c r="G64" s="46"/>
      <x:c r="H64" s="3"/>
      <x:c r="I64" s="3"/>
      <x:c r="J64" s="3"/>
      <x:c r="K64" s="3"/>
      <x:c r="L64" s="3"/>
      <x:c r="M64" s="3"/>
      <x:c r="N64" s="3"/>
      <x:c r="O64" s="3"/>
      <x:c r="P64" s="3"/>
      <x:c r="Q64" s="3"/>
      <x:c r="R64" s="3"/>
    </x:row>
    <x:row r="65" ht="34" customHeight="1">
      <x:c r="A65" s="46"/>
      <x:c r="B65" s="46"/>
      <x:c r="C65" s="46"/>
      <x:c r="D65" s="46"/>
      <x:c r="E65" s="46"/>
      <x:c r="F65" s="46"/>
      <x:c r="G65" s="46"/>
      <x:c r="H65" s="3"/>
      <x:c r="I65" s="3"/>
      <x:c r="J65" s="3"/>
      <x:c r="K65" s="3"/>
      <x:c r="L65" s="3"/>
      <x:c r="M65" s="3"/>
      <x:c r="N65" s="3"/>
      <x:c r="O65" s="3"/>
      <x:c r="P65" s="3"/>
      <x:c r="Q65" s="3"/>
      <x:c r="R65" s="3"/>
    </x:row>
    <x:row r="66" ht="34" customHeight="1">
      <x:c r="A66" s="46"/>
      <x:c r="B66" s="46"/>
      <x:c r="C66" s="46"/>
      <x:c r="D66" s="46"/>
      <x:c r="E66" s="46"/>
      <x:c r="F66" s="46"/>
      <x:c r="G66" s="46"/>
      <x:c r="H66" s="3"/>
      <x:c r="I66" s="3"/>
      <x:c r="J66" s="3"/>
      <x:c r="K66" s="3"/>
      <x:c r="L66" s="3"/>
      <x:c r="M66" s="3"/>
      <x:c r="N66" s="3"/>
      <x:c r="O66" s="3"/>
      <x:c r="P66" s="3"/>
      <x:c r="Q66" s="3"/>
      <x:c r="R66" s="3"/>
    </x:row>
    <x:row r="67" ht="34" customHeight="1">
      <x:c r="A67" s="46"/>
      <x:c r="B67" s="46"/>
      <x:c r="C67" s="46"/>
      <x:c r="D67" s="46"/>
      <x:c r="E67" s="46"/>
      <x:c r="F67" s="46"/>
      <x:c r="G67" s="46"/>
      <x:c r="H67" s="3"/>
      <x:c r="I67" s="3"/>
      <x:c r="J67" s="3"/>
      <x:c r="K67" s="3"/>
      <x:c r="L67" s="3"/>
      <x:c r="M67" s="3"/>
      <x:c r="N67" s="3"/>
      <x:c r="O67" s="3"/>
      <x:c r="P67" s="3"/>
      <x:c r="Q67" s="3"/>
      <x:c r="R67" s="3"/>
    </x:row>
    <x:row r="68" ht="34" customHeight="1">
      <x:c r="A68" s="46"/>
      <x:c r="B68" s="46"/>
      <x:c r="C68" s="46"/>
      <x:c r="D68" s="46"/>
      <x:c r="E68" s="46"/>
      <x:c r="F68" s="46"/>
      <x:c r="G68" s="46"/>
      <x:c r="H68" s="3"/>
      <x:c r="I68" s="3"/>
      <x:c r="J68" s="3"/>
      <x:c r="K68" s="3"/>
      <x:c r="L68" s="3"/>
      <x:c r="M68" s="3"/>
      <x:c r="N68" s="3"/>
      <x:c r="O68" s="3"/>
      <x:c r="P68" s="3"/>
      <x:c r="Q68" s="3"/>
      <x:c r="R68" s="3"/>
    </x:row>
    <x:row r="69" ht="34" customHeight="1">
      <x:c r="A69" s="46"/>
      <x:c r="B69" s="46"/>
      <x:c r="C69" s="46"/>
      <x:c r="D69" s="46"/>
      <x:c r="E69" s="46"/>
      <x:c r="F69" s="46"/>
      <x:c r="G69" s="46"/>
      <x:c r="H69" s="3"/>
      <x:c r="I69" s="3"/>
      <x:c r="J69" s="3"/>
      <x:c r="K69" s="3"/>
      <x:c r="L69" s="3"/>
      <x:c r="M69" s="3"/>
      <x:c r="N69" s="3"/>
      <x:c r="O69" s="3"/>
      <x:c r="P69" s="3"/>
      <x:c r="Q69" s="3"/>
      <x:c r="R69" s="3"/>
    </x:row>
    <x:row r="70" ht="34" customHeight="1">
      <x:c r="A70" s="46"/>
      <x:c r="B70" s="46"/>
      <x:c r="C70" s="46"/>
      <x:c r="D70" s="46"/>
      <x:c r="E70" s="46"/>
      <x:c r="F70" s="46"/>
      <x:c r="G70" s="46"/>
      <x:c r="H70" s="3"/>
      <x:c r="I70" s="3"/>
      <x:c r="J70" s="3"/>
      <x:c r="K70" s="3"/>
      <x:c r="L70" s="3"/>
      <x:c r="M70" s="3"/>
      <x:c r="N70" s="3"/>
      <x:c r="O70" s="3"/>
      <x:c r="P70" s="3"/>
      <x:c r="Q70" s="3"/>
      <x:c r="R70" s="3"/>
    </x:row>
    <x:row r="71" ht="34" customHeight="1">
      <x:c r="A71" s="46"/>
      <x:c r="B71" s="46"/>
      <x:c r="C71" s="46"/>
      <x:c r="D71" s="46"/>
      <x:c r="E71" s="46"/>
      <x:c r="F71" s="46"/>
      <x:c r="G71" s="46"/>
      <x:c r="H71" s="3"/>
      <x:c r="I71" s="3"/>
      <x:c r="J71" s="3"/>
      <x:c r="K71" s="3"/>
      <x:c r="L71" s="3"/>
      <x:c r="M71" s="3"/>
      <x:c r="N71" s="3"/>
      <x:c r="O71" s="3"/>
      <x:c r="P71" s="3"/>
      <x:c r="Q71" s="3"/>
      <x:c r="R71" s="3"/>
    </x:row>
    <x:row r="72" ht="34" customHeight="1">
      <x:c r="A72" s="46"/>
      <x:c r="B72" s="46"/>
      <x:c r="C72" s="46"/>
      <x:c r="D72" s="46"/>
      <x:c r="E72" s="46"/>
      <x:c r="F72" s="46"/>
      <x:c r="G72" s="46"/>
      <x:c r="H72" s="3"/>
      <x:c r="I72" s="3"/>
      <x:c r="J72" s="3"/>
      <x:c r="K72" s="3"/>
      <x:c r="L72" s="3"/>
      <x:c r="M72" s="3"/>
      <x:c r="N72" s="3"/>
      <x:c r="O72" s="3"/>
      <x:c r="P72" s="3"/>
      <x:c r="Q72" s="3"/>
      <x:c r="R72" s="3"/>
    </x:row>
    <x:row r="73" ht="34" customHeight="1">
      <x:c r="A73" s="46"/>
      <x:c r="B73" s="46"/>
      <x:c r="C73" s="46"/>
      <x:c r="D73" s="46"/>
      <x:c r="E73" s="46"/>
      <x:c r="F73" s="46"/>
      <x:c r="G73" s="46"/>
      <x:c r="H73" s="3"/>
      <x:c r="I73" s="3"/>
      <x:c r="J73" s="3"/>
      <x:c r="K73" s="3"/>
      <x:c r="L73" s="3"/>
      <x:c r="M73" s="3"/>
      <x:c r="N73" s="3"/>
      <x:c r="O73" s="3"/>
      <x:c r="P73" s="3"/>
      <x:c r="Q73" s="3"/>
      <x:c r="R73" s="3"/>
    </x:row>
    <x:row r="74" ht="34" customHeight="1">
      <x:c r="A74" s="46"/>
      <x:c r="B74" s="46"/>
      <x:c r="C74" s="46"/>
      <x:c r="D74" s="46"/>
      <x:c r="E74" s="46"/>
      <x:c r="F74" s="46"/>
      <x:c r="G74" s="46"/>
      <x:c r="H74" s="3"/>
      <x:c r="I74" s="3"/>
      <x:c r="J74" s="3"/>
      <x:c r="K74" s="3"/>
      <x:c r="L74" s="3"/>
      <x:c r="M74" s="3"/>
      <x:c r="N74" s="3"/>
      <x:c r="O74" s="3"/>
      <x:c r="P74" s="3"/>
      <x:c r="Q74" s="3"/>
      <x:c r="R74" s="3"/>
    </x:row>
    <x:row r="75" ht="34" customHeight="1">
      <x:c r="A75" s="46"/>
      <x:c r="B75" s="46"/>
      <x:c r="C75" s="46"/>
      <x:c r="D75" s="46"/>
      <x:c r="E75" s="46"/>
      <x:c r="F75" s="46"/>
      <x:c r="G75" s="46"/>
      <x:c r="H75" s="3"/>
      <x:c r="I75" s="3"/>
      <x:c r="J75" s="3"/>
      <x:c r="K75" s="3"/>
      <x:c r="L75" s="3"/>
      <x:c r="M75" s="3"/>
      <x:c r="N75" s="3"/>
      <x:c r="O75" s="3"/>
      <x:c r="P75" s="3"/>
      <x:c r="Q75" s="3"/>
      <x:c r="R75" s="3"/>
    </x:row>
    <x:row r="76" ht="34" customHeight="1">
      <x:c r="A76" s="46"/>
      <x:c r="B76" s="46"/>
      <x:c r="C76" s="46"/>
      <x:c r="D76" s="46"/>
      <x:c r="E76" s="46"/>
      <x:c r="F76" s="46"/>
      <x:c r="G76" s="46"/>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136" t="str">
        <x:v>Record facts separately from hypotheses. A populated row is not approval: keep the decision authority and supporting evidence explicit. Review access controls before entering identifiable or sensitive information.</x:v>
      </x:c>
      <x:c r="B79" s="136"/>
      <x:c r="C79" s="136"/>
      <x:c r="D79" s="136"/>
      <x:c r="E79" s="136"/>
      <x:c r="F79" s="136"/>
      <x:c r="G79" s="136"/>
      <x:c r="H79" s="136"/>
      <x:c r="I79" s="136"/>
      <x:c r="J79" s="136"/>
      <x:c r="K79" s="136"/>
      <x:c r="L79" s="136"/>
      <x:c r="M79" s="3"/>
      <x:c r="N79" s="3"/>
      <x:c r="O79" s="3"/>
      <x:c r="P79" s="3"/>
      <x:c r="Q79" s="3"/>
      <x:c r="R79" s="3"/>
    </x:row>
    <x:row r="80" ht="20" customHeight="1">
      <x:c r="A80" s="136"/>
      <x:c r="B80" s="136"/>
      <x:c r="C80" s="136"/>
      <x:c r="D80" s="136"/>
      <x:c r="E80" s="136"/>
      <x:c r="F80" s="136"/>
      <x:c r="G80" s="136"/>
      <x:c r="H80" s="136"/>
      <x:c r="I80" s="136"/>
      <x:c r="J80" s="136"/>
      <x:c r="K80" s="136"/>
      <x:c r="L80" s="136"/>
      <x:c r="M80" s="3"/>
      <x:c r="N80" s="3"/>
      <x:c r="O80" s="3"/>
      <x:c r="P80" s="3"/>
      <x:c r="Q80" s="3"/>
      <x:c r="R80" s="3"/>
    </x:row>
    <x:row r="81" ht="20" customHeight="1">
      <x:c r="A81" s="136"/>
      <x:c r="B81" s="136"/>
      <x:c r="C81" s="136"/>
      <x:c r="D81" s="136"/>
      <x:c r="E81" s="136"/>
      <x:c r="F81" s="136"/>
      <x:c r="G81" s="136"/>
      <x:c r="H81" s="136"/>
      <x:c r="I81" s="136"/>
      <x:c r="J81" s="136"/>
      <x:c r="K81" s="136"/>
      <x:c r="L81" s="136"/>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 ref="A53:L54"/>
    <x:mergeCell ref="A79:L81"/>
  </x:mergeCells>
  <x:pageMargins left="0.7" right="0.7" top="0.75" bottom="0.75" header="0.3" footer="0.3"/>
</x:worksheet>
</file>

<file path=xl/worksheets/sheet19.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P13  PDSA test plan and prediction</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Write what you expect to happen and how you will learn before the test.</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P13</x:v>
      </x:c>
      <x:c r="B9" s="34"/>
      <x:c r="C9" s="34"/>
      <x:c r="D9" s="34"/>
      <x:c r="E9" s="34"/>
      <x:c r="F9" s="34"/>
      <x:c r="G9" s="34"/>
      <x:c r="H9" s="34"/>
      <x:c r="I9" s="34"/>
      <x:c r="J9" s="34"/>
      <x:c r="K9" s="34"/>
      <x:c r="L9" s="34"/>
      <x:c r="M9" s="3"/>
      <x:c r="N9" s="3"/>
      <x:c r="O9" s="3"/>
      <x:c r="P9" s="3"/>
      <x:c r="Q9" s="3"/>
      <x:c r="R9" s="3"/>
    </x:row>
    <x:row r="10" ht="20" customHeight="1">
      <x:c r="A10" s="40" t="str">
        <x:v>01  Cycle question</x:v>
      </x:c>
      <x:c r="B10" s="40"/>
      <x:c r="C10" s="40"/>
      <x:c r="D10" s="17" t="str">
        <x:v>Define the specific learning question.</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Change and boundary</x:v>
      </x:c>
      <x:c r="B16" s="40"/>
      <x:c r="C16" s="40"/>
      <x:c r="D16" s="17" t="str">
        <x:v>State precisely what changes and what does not.</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Prediction and rationale</x:v>
      </x:c>
      <x:c r="B22" s="40"/>
      <x:c r="C22" s="40"/>
      <x:c r="D22" s="17" t="str">
        <x:v>State expected results before starting.</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Execution plan</x:v>
      </x:c>
      <x:c r="B28" s="40"/>
      <x:c r="C28" s="40"/>
      <x:c r="D28" s="17" t="str">
        <x:v>Specify who, where, when, size and conditions.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Collection and comparison</x:v>
      </x:c>
      <x:c r="B34" s="40"/>
      <x:c r="C34" s="40"/>
      <x:c r="D34" s="17" t="str">
        <x:v>Define data, denominator and balancing checks.</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Permission and review</x:v>
      </x:c>
      <x:c r="B40" s="40"/>
      <x:c r="C40" s="40"/>
      <x:c r="D40" s="17" t="str">
        <x:v>Record safeguards, owner and Study timing.</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Test size is a learning choice, not a statistical power calculation. Do not claim general effectiveness from five cases. A bundle may be appropriate, but record its components and recognise that attribution to one component will be limited.</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D01, D02, D04, S01  |  METHOD SOURCES: U01, R02, R04</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20.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6" hidden="0" customWidth="1"/>
    <x:col min="2" max="2" width="17" hidden="0" customWidth="1"/>
    <x:col min="3" max="3" width="48" hidden="0" customWidth="1"/>
    <x:col min="4" max="4" width="48" hidden="0" customWidth="1"/>
    <x:col min="5" max="5" width="42" hidden="0" customWidth="1"/>
    <x:col min="6" max="6" width="18" hidden="0" customWidth="1"/>
    <x:col min="7" max="7" width="20" hidden="0" customWidth="1"/>
    <x:col min="8" max="8" width="24" hidden="0" customWidth="1"/>
    <x:col min="9" max="9" width="18"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P14  Linked-cycle roadmap</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Plan a sequence of learning, not a single pilot followed by a rollout.</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Cycle ID</x:v>
      </x:c>
      <x:c r="B9" s="77" t="str">
        <x:v>Previous cycle</x:v>
      </x:c>
      <x:c r="C9" s="77" t="str">
        <x:v>Learning question</x:v>
      </x:c>
      <x:c r="D9" s="77" t="str">
        <x:v>Prediction</x:v>
      </x:c>
      <x:c r="E9" s="77" t="str">
        <x:v>Scope / conditions</x:v>
      </x:c>
      <x:c r="F9" s="77" t="str">
        <x:v>Status</x:v>
      </x:c>
      <x:c r="G9" s="77" t="str">
        <x:v>Act choice</x:v>
      </x:c>
      <x:c r="H9" s="77" t="str">
        <x:v>Owner</x:v>
      </x:c>
      <x:c r="I9" s="77" t="str">
        <x:v>Next review</x:v>
      </x:c>
      <x:c r="J9" s="3"/>
      <x:c r="K9" s="3"/>
      <x:c r="L9" s="3"/>
      <x:c r="M9" s="3"/>
      <x:c r="N9" s="3"/>
      <x:c r="O9" s="3"/>
      <x:c r="P9" s="3"/>
      <x:c r="Q9" s="3"/>
      <x:c r="R9" s="3"/>
    </x:row>
    <x:row r="10" ht="34" customHeight="1">
      <x:c r="A10" s="46"/>
      <x:c r="B10" s="46"/>
      <x:c r="C10" s="46"/>
      <x:c r="D10" s="46"/>
      <x:c r="E10" s="46"/>
      <x:c r="F10" s="46"/>
      <x:c r="G10" s="46"/>
      <x:c r="H10" s="46"/>
      <x:c r="I10" s="88"/>
      <x:c r="J10" s="3"/>
      <x:c r="K10" s="3"/>
      <x:c r="L10" s="3"/>
      <x:c r="M10" s="3"/>
      <x:c r="N10" s="3"/>
      <x:c r="O10" s="3"/>
      <x:c r="P10" s="3"/>
      <x:c r="Q10" s="3"/>
      <x:c r="R10" s="3"/>
    </x:row>
    <x:row r="11" ht="34" customHeight="1">
      <x:c r="A11" s="46"/>
      <x:c r="B11" s="46"/>
      <x:c r="C11" s="46"/>
      <x:c r="D11" s="46"/>
      <x:c r="E11" s="46"/>
      <x:c r="F11" s="46"/>
      <x:c r="G11" s="46"/>
      <x:c r="H11" s="46"/>
      <x:c r="I11" s="88"/>
      <x:c r="J11" s="3"/>
      <x:c r="K11" s="3"/>
      <x:c r="L11" s="3"/>
      <x:c r="M11" s="3"/>
      <x:c r="N11" s="3"/>
      <x:c r="O11" s="3"/>
      <x:c r="P11" s="3"/>
      <x:c r="Q11" s="3"/>
      <x:c r="R11" s="3"/>
    </x:row>
    <x:row r="12" ht="34" customHeight="1">
      <x:c r="A12" s="46"/>
      <x:c r="B12" s="46"/>
      <x:c r="C12" s="46"/>
      <x:c r="D12" s="46"/>
      <x:c r="E12" s="46"/>
      <x:c r="F12" s="46"/>
      <x:c r="G12" s="46"/>
      <x:c r="H12" s="46"/>
      <x:c r="I12" s="88"/>
      <x:c r="J12" s="3"/>
      <x:c r="K12" s="3"/>
      <x:c r="L12" s="3"/>
      <x:c r="M12" s="3"/>
      <x:c r="N12" s="3"/>
      <x:c r="O12" s="3"/>
      <x:c r="P12" s="3"/>
      <x:c r="Q12" s="3"/>
      <x:c r="R12" s="3"/>
    </x:row>
    <x:row r="13" ht="34" customHeight="1">
      <x:c r="A13" s="46"/>
      <x:c r="B13" s="46"/>
      <x:c r="C13" s="46"/>
      <x:c r="D13" s="46"/>
      <x:c r="E13" s="46"/>
      <x:c r="F13" s="46"/>
      <x:c r="G13" s="46"/>
      <x:c r="H13" s="46"/>
      <x:c r="I13" s="88"/>
      <x:c r="J13" s="3"/>
      <x:c r="K13" s="3"/>
      <x:c r="L13" s="3"/>
      <x:c r="M13" s="3"/>
      <x:c r="N13" s="3"/>
      <x:c r="O13" s="3"/>
      <x:c r="P13" s="3"/>
      <x:c r="Q13" s="3"/>
      <x:c r="R13" s="3"/>
    </x:row>
    <x:row r="14" ht="34" customHeight="1">
      <x:c r="A14" s="46"/>
      <x:c r="B14" s="46"/>
      <x:c r="C14" s="46"/>
      <x:c r="D14" s="46"/>
      <x:c r="E14" s="46"/>
      <x:c r="F14" s="46"/>
      <x:c r="G14" s="46"/>
      <x:c r="H14" s="46"/>
      <x:c r="I14" s="88"/>
      <x:c r="J14" s="3"/>
      <x:c r="K14" s="3"/>
      <x:c r="L14" s="3"/>
      <x:c r="M14" s="3"/>
      <x:c r="N14" s="3"/>
      <x:c r="O14" s="3"/>
      <x:c r="P14" s="3"/>
      <x:c r="Q14" s="3"/>
      <x:c r="R14" s="3"/>
    </x:row>
    <x:row r="15" ht="34" customHeight="1">
      <x:c r="A15" s="46"/>
      <x:c r="B15" s="46"/>
      <x:c r="C15" s="46"/>
      <x:c r="D15" s="46"/>
      <x:c r="E15" s="46"/>
      <x:c r="F15" s="46"/>
      <x:c r="G15" s="46"/>
      <x:c r="H15" s="46"/>
      <x:c r="I15" s="88"/>
      <x:c r="J15" s="3"/>
      <x:c r="K15" s="3"/>
      <x:c r="L15" s="3"/>
      <x:c r="M15" s="3"/>
      <x:c r="N15" s="3"/>
      <x:c r="O15" s="3"/>
      <x:c r="P15" s="3"/>
      <x:c r="Q15" s="3"/>
      <x:c r="R15" s="3"/>
    </x:row>
    <x:row r="16" ht="34" customHeight="1">
      <x:c r="A16" s="46"/>
      <x:c r="B16" s="46"/>
      <x:c r="C16" s="46"/>
      <x:c r="D16" s="46"/>
      <x:c r="E16" s="46"/>
      <x:c r="F16" s="46"/>
      <x:c r="G16" s="46"/>
      <x:c r="H16" s="46"/>
      <x:c r="I16" s="88"/>
      <x:c r="J16" s="3"/>
      <x:c r="K16" s="3"/>
      <x:c r="L16" s="3"/>
      <x:c r="M16" s="3"/>
      <x:c r="N16" s="3"/>
      <x:c r="O16" s="3"/>
      <x:c r="P16" s="3"/>
      <x:c r="Q16" s="3"/>
      <x:c r="R16" s="3"/>
    </x:row>
    <x:row r="17" ht="34" customHeight="1">
      <x:c r="A17" s="46"/>
      <x:c r="B17" s="46"/>
      <x:c r="C17" s="46"/>
      <x:c r="D17" s="46"/>
      <x:c r="E17" s="46"/>
      <x:c r="F17" s="46"/>
      <x:c r="G17" s="46"/>
      <x:c r="H17" s="46"/>
      <x:c r="I17" s="88"/>
      <x:c r="J17" s="3"/>
      <x:c r="K17" s="3"/>
      <x:c r="L17" s="3"/>
      <x:c r="M17" s="3"/>
      <x:c r="N17" s="3"/>
      <x:c r="O17" s="3"/>
      <x:c r="P17" s="3"/>
      <x:c r="Q17" s="3"/>
      <x:c r="R17" s="3"/>
    </x:row>
    <x:row r="18" ht="34" customHeight="1">
      <x:c r="A18" s="46"/>
      <x:c r="B18" s="46"/>
      <x:c r="C18" s="46"/>
      <x:c r="D18" s="46"/>
      <x:c r="E18" s="46"/>
      <x:c r="F18" s="46"/>
      <x:c r="G18" s="46"/>
      <x:c r="H18" s="46"/>
      <x:c r="I18" s="88"/>
      <x:c r="J18" s="3"/>
      <x:c r="K18" s="3"/>
      <x:c r="L18" s="3"/>
      <x:c r="M18" s="3"/>
      <x:c r="N18" s="3"/>
      <x:c r="O18" s="3"/>
      <x:c r="P18" s="3"/>
      <x:c r="Q18" s="3"/>
      <x:c r="R18" s="3"/>
    </x:row>
    <x:row r="19" ht="34" customHeight="1">
      <x:c r="A19" s="46"/>
      <x:c r="B19" s="46"/>
      <x:c r="C19" s="46"/>
      <x:c r="D19" s="46"/>
      <x:c r="E19" s="46"/>
      <x:c r="F19" s="46"/>
      <x:c r="G19" s="46"/>
      <x:c r="H19" s="46"/>
      <x:c r="I19" s="88"/>
      <x:c r="J19" s="3"/>
      <x:c r="K19" s="3"/>
      <x:c r="L19" s="3"/>
      <x:c r="M19" s="3"/>
      <x:c r="N19" s="3"/>
      <x:c r="O19" s="3"/>
      <x:c r="P19" s="3"/>
      <x:c r="Q19" s="3"/>
      <x:c r="R19" s="3"/>
    </x:row>
    <x:row r="20" ht="34" customHeight="1">
      <x:c r="A20" s="46"/>
      <x:c r="B20" s="46"/>
      <x:c r="C20" s="46"/>
      <x:c r="D20" s="46"/>
      <x:c r="E20" s="46"/>
      <x:c r="F20" s="46"/>
      <x:c r="G20" s="46"/>
      <x:c r="H20" s="46"/>
      <x:c r="I20" s="88"/>
      <x:c r="J20" s="3"/>
      <x:c r="K20" s="3"/>
      <x:c r="L20" s="3"/>
      <x:c r="M20" s="3"/>
      <x:c r="N20" s="3"/>
      <x:c r="O20" s="3"/>
      <x:c r="P20" s="3"/>
      <x:c r="Q20" s="3"/>
      <x:c r="R20" s="3"/>
    </x:row>
    <x:row r="21" ht="34" customHeight="1">
      <x:c r="A21" s="46"/>
      <x:c r="B21" s="46"/>
      <x:c r="C21" s="46"/>
      <x:c r="D21" s="46"/>
      <x:c r="E21" s="46"/>
      <x:c r="F21" s="46"/>
      <x:c r="G21" s="46"/>
      <x:c r="H21" s="46"/>
      <x:c r="I21" s="88"/>
      <x:c r="J21" s="3"/>
      <x:c r="K21" s="3"/>
      <x:c r="L21" s="3"/>
      <x:c r="M21" s="3"/>
      <x:c r="N21" s="3"/>
      <x:c r="O21" s="3"/>
      <x:c r="P21" s="3"/>
      <x:c r="Q21" s="3"/>
      <x:c r="R21" s="3"/>
    </x:row>
    <x:row r="22" ht="34" customHeight="1">
      <x:c r="A22" s="46"/>
      <x:c r="B22" s="46"/>
      <x:c r="C22" s="46"/>
      <x:c r="D22" s="46"/>
      <x:c r="E22" s="46"/>
      <x:c r="F22" s="46"/>
      <x:c r="G22" s="46"/>
      <x:c r="H22" s="46"/>
      <x:c r="I22" s="88"/>
      <x:c r="J22" s="3"/>
      <x:c r="K22" s="3"/>
      <x:c r="L22" s="3"/>
      <x:c r="M22" s="3"/>
      <x:c r="N22" s="3"/>
      <x:c r="O22" s="3"/>
      <x:c r="P22" s="3"/>
      <x:c r="Q22" s="3"/>
      <x:c r="R22" s="3"/>
    </x:row>
    <x:row r="23" ht="34" customHeight="1">
      <x:c r="A23" s="46"/>
      <x:c r="B23" s="46"/>
      <x:c r="C23" s="46"/>
      <x:c r="D23" s="46"/>
      <x:c r="E23" s="46"/>
      <x:c r="F23" s="46"/>
      <x:c r="G23" s="46"/>
      <x:c r="H23" s="46"/>
      <x:c r="I23" s="88"/>
      <x:c r="J23" s="3"/>
      <x:c r="K23" s="3"/>
      <x:c r="L23" s="3"/>
      <x:c r="M23" s="3"/>
      <x:c r="N23" s="3"/>
      <x:c r="O23" s="3"/>
      <x:c r="P23" s="3"/>
      <x:c r="Q23" s="3"/>
      <x:c r="R23" s="3"/>
    </x:row>
    <x:row r="24" ht="34" customHeight="1">
      <x:c r="A24" s="46"/>
      <x:c r="B24" s="46"/>
      <x:c r="C24" s="46"/>
      <x:c r="D24" s="46"/>
      <x:c r="E24" s="46"/>
      <x:c r="F24" s="46"/>
      <x:c r="G24" s="46"/>
      <x:c r="H24" s="46"/>
      <x:c r="I24" s="88"/>
      <x:c r="J24" s="3"/>
      <x:c r="K24" s="3"/>
      <x:c r="L24" s="3"/>
      <x:c r="M24" s="3"/>
      <x:c r="N24" s="3"/>
      <x:c r="O24" s="3"/>
      <x:c r="P24" s="3"/>
      <x:c r="Q24" s="3"/>
      <x:c r="R24" s="3"/>
    </x:row>
    <x:row r="25" ht="34" customHeight="1">
      <x:c r="A25" s="46"/>
      <x:c r="B25" s="46"/>
      <x:c r="C25" s="46"/>
      <x:c r="D25" s="46"/>
      <x:c r="E25" s="46"/>
      <x:c r="F25" s="46"/>
      <x:c r="G25" s="46"/>
      <x:c r="H25" s="46"/>
      <x:c r="I25" s="88"/>
      <x:c r="J25" s="3"/>
      <x:c r="K25" s="3"/>
      <x:c r="L25" s="3"/>
      <x:c r="M25" s="3"/>
      <x:c r="N25" s="3"/>
      <x:c r="O25" s="3"/>
      <x:c r="P25" s="3"/>
      <x:c r="Q25" s="3"/>
      <x:c r="R25" s="3"/>
    </x:row>
    <x:row r="26" ht="34" customHeight="1">
      <x:c r="A26" s="46"/>
      <x:c r="B26" s="46"/>
      <x:c r="C26" s="46"/>
      <x:c r="D26" s="46"/>
      <x:c r="E26" s="46"/>
      <x:c r="F26" s="46"/>
      <x:c r="G26" s="46"/>
      <x:c r="H26" s="46"/>
      <x:c r="I26" s="88"/>
      <x:c r="J26" s="3"/>
      <x:c r="K26" s="3"/>
      <x:c r="L26" s="3"/>
      <x:c r="M26" s="3"/>
      <x:c r="N26" s="3"/>
      <x:c r="O26" s="3"/>
      <x:c r="P26" s="3"/>
      <x:c r="Q26" s="3"/>
      <x:c r="R26" s="3"/>
    </x:row>
    <x:row r="27" ht="34" customHeight="1">
      <x:c r="A27" s="46"/>
      <x:c r="B27" s="46"/>
      <x:c r="C27" s="46"/>
      <x:c r="D27" s="46"/>
      <x:c r="E27" s="46"/>
      <x:c r="F27" s="46"/>
      <x:c r="G27" s="46"/>
      <x:c r="H27" s="46"/>
      <x:c r="I27" s="88"/>
      <x:c r="J27" s="3"/>
      <x:c r="K27" s="3"/>
      <x:c r="L27" s="3"/>
      <x:c r="M27" s="3"/>
      <x:c r="N27" s="3"/>
      <x:c r="O27" s="3"/>
      <x:c r="P27" s="3"/>
      <x:c r="Q27" s="3"/>
      <x:c r="R27" s="3"/>
    </x:row>
    <x:row r="28" ht="34" customHeight="1">
      <x:c r="A28" s="46"/>
      <x:c r="B28" s="46"/>
      <x:c r="C28" s="46"/>
      <x:c r="D28" s="46"/>
      <x:c r="E28" s="46"/>
      <x:c r="F28" s="46"/>
      <x:c r="G28" s="46"/>
      <x:c r="H28" s="46"/>
      <x:c r="I28" s="88"/>
      <x:c r="J28" s="3"/>
      <x:c r="K28" s="3"/>
      <x:c r="L28" s="3"/>
      <x:c r="M28" s="3"/>
      <x:c r="N28" s="3"/>
      <x:c r="O28" s="3"/>
      <x:c r="P28" s="3"/>
      <x:c r="Q28" s="3"/>
      <x:c r="R28" s="3"/>
    </x:row>
    <x:row r="29" ht="34" customHeight="1">
      <x:c r="A29" s="46"/>
      <x:c r="B29" s="46"/>
      <x:c r="C29" s="46"/>
      <x:c r="D29" s="46"/>
      <x:c r="E29" s="46"/>
      <x:c r="F29" s="46"/>
      <x:c r="G29" s="46"/>
      <x:c r="H29" s="46"/>
      <x:c r="I29" s="88"/>
      <x:c r="J29" s="3"/>
      <x:c r="K29" s="3"/>
      <x:c r="L29" s="3"/>
      <x:c r="M29" s="3"/>
      <x:c r="N29" s="3"/>
      <x:c r="O29" s="3"/>
      <x:c r="P29" s="3"/>
      <x:c r="Q29" s="3"/>
      <x:c r="R29" s="3"/>
    </x:row>
    <x:row r="30" ht="34" customHeight="1">
      <x:c r="A30" s="46"/>
      <x:c r="B30" s="46"/>
      <x:c r="C30" s="46"/>
      <x:c r="D30" s="46"/>
      <x:c r="E30" s="46"/>
      <x:c r="F30" s="46"/>
      <x:c r="G30" s="46"/>
      <x:c r="H30" s="46"/>
      <x:c r="I30" s="88"/>
      <x:c r="J30" s="3"/>
      <x:c r="K30" s="3"/>
      <x:c r="L30" s="3"/>
      <x:c r="M30" s="3"/>
      <x:c r="N30" s="3"/>
      <x:c r="O30" s="3"/>
      <x:c r="P30" s="3"/>
      <x:c r="Q30" s="3"/>
      <x:c r="R30" s="3"/>
    </x:row>
    <x:row r="31" ht="34" customHeight="1">
      <x:c r="A31" s="46"/>
      <x:c r="B31" s="46"/>
      <x:c r="C31" s="46"/>
      <x:c r="D31" s="46"/>
      <x:c r="E31" s="46"/>
      <x:c r="F31" s="46"/>
      <x:c r="G31" s="46"/>
      <x:c r="H31" s="46"/>
      <x:c r="I31" s="88"/>
      <x:c r="J31" s="3"/>
      <x:c r="K31" s="3"/>
      <x:c r="L31" s="3"/>
      <x:c r="M31" s="3"/>
      <x:c r="N31" s="3"/>
      <x:c r="O31" s="3"/>
      <x:c r="P31" s="3"/>
      <x:c r="Q31" s="3"/>
      <x:c r="R31" s="3"/>
    </x:row>
    <x:row r="32" ht="34" customHeight="1">
      <x:c r="A32" s="46"/>
      <x:c r="B32" s="46"/>
      <x:c r="C32" s="46"/>
      <x:c r="D32" s="46"/>
      <x:c r="E32" s="46"/>
      <x:c r="F32" s="46"/>
      <x:c r="G32" s="46"/>
      <x:c r="H32" s="46"/>
      <x:c r="I32" s="88"/>
      <x:c r="J32" s="3"/>
      <x:c r="K32" s="3"/>
      <x:c r="L32" s="3"/>
      <x:c r="M32" s="3"/>
      <x:c r="N32" s="3"/>
      <x:c r="O32" s="3"/>
      <x:c r="P32" s="3"/>
      <x:c r="Q32" s="3"/>
      <x:c r="R32" s="3"/>
    </x:row>
    <x:row r="33" ht="34" customHeight="1">
      <x:c r="A33" s="46"/>
      <x:c r="B33" s="46"/>
      <x:c r="C33" s="46"/>
      <x:c r="D33" s="46"/>
      <x:c r="E33" s="46"/>
      <x:c r="F33" s="46"/>
      <x:c r="G33" s="46"/>
      <x:c r="H33" s="46"/>
      <x:c r="I33" s="88"/>
      <x:c r="J33" s="3"/>
      <x:c r="K33" s="3"/>
      <x:c r="L33" s="3"/>
      <x:c r="M33" s="3"/>
      <x:c r="N33" s="3"/>
      <x:c r="O33" s="3"/>
      <x:c r="P33" s="3"/>
      <x:c r="Q33" s="3"/>
      <x:c r="R33" s="3"/>
    </x:row>
    <x:row r="34" ht="34" customHeight="1">
      <x:c r="A34" s="46"/>
      <x:c r="B34" s="46"/>
      <x:c r="C34" s="46"/>
      <x:c r="D34" s="46"/>
      <x:c r="E34" s="46"/>
      <x:c r="F34" s="46"/>
      <x:c r="G34" s="46"/>
      <x:c r="H34" s="46"/>
      <x:c r="I34" s="88"/>
      <x:c r="J34" s="3"/>
      <x:c r="K34" s="3"/>
      <x:c r="L34" s="3"/>
      <x:c r="M34" s="3"/>
      <x:c r="N34" s="3"/>
      <x:c r="O34" s="3"/>
      <x:c r="P34" s="3"/>
      <x:c r="Q34" s="3"/>
      <x:c r="R34" s="3"/>
    </x:row>
    <x:row r="35" ht="34" customHeight="1">
      <x:c r="A35" s="46"/>
      <x:c r="B35" s="46"/>
      <x:c r="C35" s="46"/>
      <x:c r="D35" s="46"/>
      <x:c r="E35" s="46"/>
      <x:c r="F35" s="46"/>
      <x:c r="G35" s="46"/>
      <x:c r="H35" s="46"/>
      <x:c r="I35" s="88"/>
      <x:c r="J35" s="3"/>
      <x:c r="K35" s="3"/>
      <x:c r="L35" s="3"/>
      <x:c r="M35" s="3"/>
      <x:c r="N35" s="3"/>
      <x:c r="O35" s="3"/>
      <x:c r="P35" s="3"/>
      <x:c r="Q35" s="3"/>
      <x:c r="R35" s="3"/>
    </x:row>
    <x:row r="36" ht="34" customHeight="1">
      <x:c r="A36" s="46"/>
      <x:c r="B36" s="46"/>
      <x:c r="C36" s="46"/>
      <x:c r="D36" s="46"/>
      <x:c r="E36" s="46"/>
      <x:c r="F36" s="46"/>
      <x:c r="G36" s="46"/>
      <x:c r="H36" s="46"/>
      <x:c r="I36" s="88"/>
      <x:c r="J36" s="3"/>
      <x:c r="K36" s="3"/>
      <x:c r="L36" s="3"/>
      <x:c r="M36" s="3"/>
      <x:c r="N36" s="3"/>
      <x:c r="O36" s="3"/>
      <x:c r="P36" s="3"/>
      <x:c r="Q36" s="3"/>
      <x:c r="R36" s="3"/>
    </x:row>
    <x:row r="37" ht="34" customHeight="1">
      <x:c r="A37" s="46"/>
      <x:c r="B37" s="46"/>
      <x:c r="C37" s="46"/>
      <x:c r="D37" s="46"/>
      <x:c r="E37" s="46"/>
      <x:c r="F37" s="46"/>
      <x:c r="G37" s="46"/>
      <x:c r="H37" s="46"/>
      <x:c r="I37" s="88"/>
      <x:c r="J37" s="3"/>
      <x:c r="K37" s="3"/>
      <x:c r="L37" s="3"/>
      <x:c r="M37" s="3"/>
      <x:c r="N37" s="3"/>
      <x:c r="O37" s="3"/>
      <x:c r="P37" s="3"/>
      <x:c r="Q37" s="3"/>
      <x:c r="R37" s="3"/>
    </x:row>
    <x:row r="38" ht="34" customHeight="1">
      <x:c r="A38" s="46"/>
      <x:c r="B38" s="46"/>
      <x:c r="C38" s="46"/>
      <x:c r="D38" s="46"/>
      <x:c r="E38" s="46"/>
      <x:c r="F38" s="46"/>
      <x:c r="G38" s="46"/>
      <x:c r="H38" s="46"/>
      <x:c r="I38" s="88"/>
      <x:c r="J38" s="3"/>
      <x:c r="K38" s="3"/>
      <x:c r="L38" s="3"/>
      <x:c r="M38" s="3"/>
      <x:c r="N38" s="3"/>
      <x:c r="O38" s="3"/>
      <x:c r="P38" s="3"/>
      <x:c r="Q38" s="3"/>
      <x:c r="R38" s="3"/>
    </x:row>
    <x:row r="39" ht="34" customHeight="1">
      <x:c r="A39" s="46"/>
      <x:c r="B39" s="46"/>
      <x:c r="C39" s="46"/>
      <x:c r="D39" s="46"/>
      <x:c r="E39" s="46"/>
      <x:c r="F39" s="46"/>
      <x:c r="G39" s="46"/>
      <x:c r="H39" s="46"/>
      <x:c r="I39" s="88"/>
      <x:c r="J39" s="3"/>
      <x:c r="K39" s="3"/>
      <x:c r="L39" s="3"/>
      <x:c r="M39" s="3"/>
      <x:c r="N39" s="3"/>
      <x:c r="O39" s="3"/>
      <x:c r="P39" s="3"/>
      <x:c r="Q39" s="3"/>
      <x:c r="R39" s="3"/>
    </x:row>
    <x:row r="40" ht="34" customHeight="1">
      <x:c r="A40" s="46"/>
      <x:c r="B40" s="46"/>
      <x:c r="C40" s="46"/>
      <x:c r="D40" s="46"/>
      <x:c r="E40" s="46"/>
      <x:c r="F40" s="46"/>
      <x:c r="G40" s="46"/>
      <x:c r="H40" s="46"/>
      <x:c r="I40" s="88"/>
      <x:c r="J40" s="3"/>
      <x:c r="K40" s="3"/>
      <x:c r="L40" s="3"/>
      <x:c r="M40" s="3"/>
      <x:c r="N40" s="3"/>
      <x:c r="O40" s="3"/>
      <x:c r="P40" s="3"/>
      <x:c r="Q40" s="3"/>
      <x:c r="R40" s="3"/>
    </x:row>
    <x:row r="41" ht="34" customHeight="1">
      <x:c r="A41" s="46"/>
      <x:c r="B41" s="46"/>
      <x:c r="C41" s="46"/>
      <x:c r="D41" s="46"/>
      <x:c r="E41" s="46"/>
      <x:c r="F41" s="46"/>
      <x:c r="G41" s="46"/>
      <x:c r="H41" s="46"/>
      <x:c r="I41" s="88"/>
      <x:c r="J41" s="3"/>
      <x:c r="K41" s="3"/>
      <x:c r="L41" s="3"/>
      <x:c r="M41" s="3"/>
      <x:c r="N41" s="3"/>
      <x:c r="O41" s="3"/>
      <x:c r="P41" s="3"/>
      <x:c r="Q41" s="3"/>
      <x:c r="R41" s="3"/>
    </x:row>
    <x:row r="42" ht="34" customHeight="1">
      <x:c r="A42" s="46"/>
      <x:c r="B42" s="46"/>
      <x:c r="C42" s="46"/>
      <x:c r="D42" s="46"/>
      <x:c r="E42" s="46"/>
      <x:c r="F42" s="46"/>
      <x:c r="G42" s="46"/>
      <x:c r="H42" s="46"/>
      <x:c r="I42" s="88"/>
      <x:c r="J42" s="3"/>
      <x:c r="K42" s="3"/>
      <x:c r="L42" s="3"/>
      <x:c r="M42" s="3"/>
      <x:c r="N42" s="3"/>
      <x:c r="O42" s="3"/>
      <x:c r="P42" s="3"/>
      <x:c r="Q42" s="3"/>
      <x:c r="R42" s="3"/>
    </x:row>
    <x:row r="43" ht="34" customHeight="1">
      <x:c r="A43" s="46"/>
      <x:c r="B43" s="46"/>
      <x:c r="C43" s="46"/>
      <x:c r="D43" s="46"/>
      <x:c r="E43" s="46"/>
      <x:c r="F43" s="46"/>
      <x:c r="G43" s="46"/>
      <x:c r="H43" s="46"/>
      <x:c r="I43" s="88"/>
      <x:c r="J43" s="3"/>
      <x:c r="K43" s="3"/>
      <x:c r="L43" s="3"/>
      <x:c r="M43" s="3"/>
      <x:c r="N43" s="3"/>
      <x:c r="O43" s="3"/>
      <x:c r="P43" s="3"/>
      <x:c r="Q43" s="3"/>
      <x:c r="R43" s="3"/>
    </x:row>
    <x:row r="44" ht="34" customHeight="1">
      <x:c r="A44" s="46"/>
      <x:c r="B44" s="46"/>
      <x:c r="C44" s="46"/>
      <x:c r="D44" s="46"/>
      <x:c r="E44" s="46"/>
      <x:c r="F44" s="46"/>
      <x:c r="G44" s="46"/>
      <x:c r="H44" s="46"/>
      <x:c r="I44" s="88"/>
      <x:c r="J44" s="3"/>
      <x:c r="K44" s="3"/>
      <x:c r="L44" s="3"/>
      <x:c r="M44" s="3"/>
      <x:c r="N44" s="3"/>
      <x:c r="O44" s="3"/>
      <x:c r="P44" s="3"/>
      <x:c r="Q44" s="3"/>
      <x:c r="R44" s="3"/>
    </x:row>
    <x:row r="45" ht="34" customHeight="1">
      <x:c r="A45" s="46"/>
      <x:c r="B45" s="46"/>
      <x:c r="C45" s="46"/>
      <x:c r="D45" s="46"/>
      <x:c r="E45" s="46"/>
      <x:c r="F45" s="46"/>
      <x:c r="G45" s="46"/>
      <x:c r="H45" s="46"/>
      <x:c r="I45" s="88"/>
      <x:c r="J45" s="3"/>
      <x:c r="K45" s="3"/>
      <x:c r="L45" s="3"/>
      <x:c r="M45" s="3"/>
      <x:c r="N45" s="3"/>
      <x:c r="O45" s="3"/>
      <x:c r="P45" s="3"/>
      <x:c r="Q45" s="3"/>
      <x:c r="R45" s="3"/>
    </x:row>
    <x:row r="46" ht="34" customHeight="1">
      <x:c r="A46" s="46"/>
      <x:c r="B46" s="46"/>
      <x:c r="C46" s="46"/>
      <x:c r="D46" s="46"/>
      <x:c r="E46" s="46"/>
      <x:c r="F46" s="46"/>
      <x:c r="G46" s="46"/>
      <x:c r="H46" s="46"/>
      <x:c r="I46" s="88"/>
      <x:c r="J46" s="3"/>
      <x:c r="K46" s="3"/>
      <x:c r="L46" s="3"/>
      <x:c r="M46" s="3"/>
      <x:c r="N46" s="3"/>
      <x:c r="O46" s="3"/>
      <x:c r="P46" s="3"/>
      <x:c r="Q46" s="3"/>
      <x:c r="R46" s="3"/>
    </x:row>
    <x:row r="47" ht="34" customHeight="1">
      <x:c r="A47" s="46"/>
      <x:c r="B47" s="46"/>
      <x:c r="C47" s="46"/>
      <x:c r="D47" s="46"/>
      <x:c r="E47" s="46"/>
      <x:c r="F47" s="46"/>
      <x:c r="G47" s="46"/>
      <x:c r="H47" s="46"/>
      <x:c r="I47" s="88"/>
      <x:c r="J47" s="3"/>
      <x:c r="K47" s="3"/>
      <x:c r="L47" s="3"/>
      <x:c r="M47" s="3"/>
      <x:c r="N47" s="3"/>
      <x:c r="O47" s="3"/>
      <x:c r="P47" s="3"/>
      <x:c r="Q47" s="3"/>
      <x:c r="R47" s="3"/>
    </x:row>
    <x:row r="48" ht="34" customHeight="1">
      <x:c r="A48" s="46"/>
      <x:c r="B48" s="46"/>
      <x:c r="C48" s="46"/>
      <x:c r="D48" s="46"/>
      <x:c r="E48" s="46"/>
      <x:c r="F48" s="46"/>
      <x:c r="G48" s="46"/>
      <x:c r="H48" s="46"/>
      <x:c r="I48" s="88"/>
      <x:c r="J48" s="3"/>
      <x:c r="K48" s="3"/>
      <x:c r="L48" s="3"/>
      <x:c r="M48" s="3"/>
      <x:c r="N48" s="3"/>
      <x:c r="O48" s="3"/>
      <x:c r="P48" s="3"/>
      <x:c r="Q48" s="3"/>
      <x:c r="R48" s="3"/>
    </x:row>
    <x:row r="49" ht="34" customHeight="1">
      <x:c r="A49" s="46"/>
      <x:c r="B49" s="46"/>
      <x:c r="C49" s="46"/>
      <x:c r="D49" s="46"/>
      <x:c r="E49" s="46"/>
      <x:c r="F49" s="46"/>
      <x:c r="G49" s="46"/>
      <x:c r="H49" s="46"/>
      <x:c r="I49" s="88"/>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P14</x:v>
      </x:c>
      <x:c r="B110" s="34"/>
      <x:c r="C110" s="34"/>
      <x:c r="D110" s="34"/>
      <x:c r="E110" s="34"/>
      <x:c r="F110" s="34"/>
      <x:c r="G110" s="34"/>
      <x:c r="H110" s="34"/>
      <x:c r="I110" s="34"/>
      <x:c r="J110" s="34"/>
      <x:c r="K110" s="34"/>
      <x:c r="L110" s="34"/>
      <x:c r="M110" s="3"/>
      <x:c r="N110" s="3"/>
      <x:c r="O110" s="3"/>
      <x:c r="P110" s="3"/>
      <x:c r="Q110" s="3"/>
      <x:c r="R110" s="3"/>
    </x:row>
    <x:row r="111" ht="20" customHeight="1">
      <x:c r="A111" s="40" t="str">
        <x:v>01  Learning questions</x:v>
      </x:c>
      <x:c r="B111" s="40"/>
      <x:c r="C111" s="40"/>
      <x:c r="D111" s="17" t="str">
        <x:v>List the uncertainties across the series.</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First cycle</x:v>
      </x:c>
      <x:c r="B117" s="40"/>
      <x:c r="C117" s="40"/>
      <x:c r="D117" s="17" t="str">
        <x:v>State smallest useful test and its prediction.</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Progressive conditions</x:v>
      </x:c>
      <x:c r="B123" s="40"/>
      <x:c r="C123" s="40"/>
      <x:c r="D123" s="17" t="str">
        <x:v>Plan broader tests without treating size as proof.</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Interactions and dependencies</x:v>
      </x:c>
      <x:c r="B129" s="40"/>
      <x:c r="C129" s="40"/>
      <x:c r="D129" s="17" t="str">
        <x:v>Record other changes and shared resources.</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Review and decision points</x:v>
      </x:c>
      <x:c r="B135" s="40"/>
      <x:c r="C135" s="40"/>
      <x:c r="D135" s="17" t="str">
        <x:v>Define how the next cycle will be selected.</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Implementation boundary</x:v>
      </x:c>
      <x:c r="B141" s="40"/>
      <x:c r="C141" s="40"/>
      <x:c r="D141" s="17" t="str">
        <x:v>State what the roadmap does not authorise.</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Do not prescribe a fixed number of cycles as proof of readiness. The three fictional cycles in this manual illustrate learning, not an implementation rule. Complex changes may need concurrent tests, but their interactions and limits must be recorded.</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P13, A02, A03  |  METHOD SOURCES: U01, R02, R35</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s>
  <x:dataValidations count="2">
    <x:dataValidation type="list" sqref="F10:F49">
      <x:formula1>"Planned,Running,Study,Complete,Stopped"</x:formula1>
    </x:dataValidation>
    <x:dataValidation type="list" sqref="G10:G49">
      <x:formula1>"Adopt,Adapt,Abandon,Hold"</x:formula1>
    </x:dataValidation>
  </x:dataValidations>
  <x:pageMargins left="0.7" right="0.7" top="0.75" bottom="0.75" header="0.3" footer="0.3"/>
</x:worksheet>
</file>

<file path=xl/worksheets/sheet21.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D01  Complete PDSA cycle record</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Keep the plan, actual events, learning and next action together.</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D01</x:v>
      </x:c>
      <x:c r="B9" s="34"/>
      <x:c r="C9" s="34"/>
      <x:c r="D9" s="34"/>
      <x:c r="E9" s="34"/>
      <x:c r="F9" s="34"/>
      <x:c r="G9" s="34"/>
      <x:c r="H9" s="34"/>
      <x:c r="I9" s="34"/>
      <x:c r="J9" s="34"/>
      <x:c r="K9" s="34"/>
      <x:c r="L9" s="34"/>
      <x:c r="M9" s="3"/>
      <x:c r="N9" s="3"/>
      <x:c r="O9" s="3"/>
      <x:c r="P9" s="3"/>
      <x:c r="Q9" s="3"/>
      <x:c r="R9" s="3"/>
    </x:row>
    <x:row r="10" ht="20" customHeight="1">
      <x:c r="A10" s="40" t="str">
        <x:v>01  Identity and links</x:v>
      </x:c>
      <x:c r="B10" s="40"/>
      <x:c r="C10" s="40"/>
      <x:c r="D10" s="17" t="str">
        <x:v>Record cycle ID, change version, owner and previous cycle.</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Plan</x:v>
      </x:c>
      <x:c r="B16" s="40"/>
      <x:c r="C16" s="40"/>
      <x:c r="D16" s="17" t="str">
        <x:v>State question, prediction and test design.</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Do</x:v>
      </x:c>
      <x:c r="B22" s="40"/>
      <x:c r="C22" s="40"/>
      <x:c r="D22" s="17" t="str">
        <x:v>Record what actually happened, including deviations.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Study</x:v>
      </x:c>
      <x:c r="B28" s="40"/>
      <x:c r="C28" s="40"/>
      <x:c r="D28" s="17" t="str">
        <x:v>Compare actual results with the original prediction.</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Act</x:v>
      </x:c>
      <x:c r="B34" s="40"/>
      <x:c r="C34" s="40"/>
      <x:c r="D34" s="17" t="str">
        <x:v>Record adapt, adopt, abandon or further investigation.</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Next cycle and ownership</x:v>
      </x:c>
      <x:c r="B40" s="40"/>
      <x:c r="C40" s="40"/>
      <x:c r="D40" s="17" t="str">
        <x:v>Link the next question and review.</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Completing all four boxes does not establish that the test was safe, representative or effective. Do not rewrite predictions after seeing results. Separate test completion, implementation approval and sustained benefit; they are different decisions.</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S01, A01, A02  |  METHOD SOURCES: U01, R02, R04</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22.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D02  Test-readiness briefing</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Make sure the people running the test understand the change, limits and support.</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D02</x:v>
      </x:c>
      <x:c r="B9" s="34"/>
      <x:c r="C9" s="34"/>
      <x:c r="D9" s="34"/>
      <x:c r="E9" s="34"/>
      <x:c r="F9" s="34"/>
      <x:c r="G9" s="34"/>
      <x:c r="H9" s="34"/>
      <x:c r="I9" s="34"/>
      <x:c r="J9" s="34"/>
      <x:c r="K9" s="34"/>
      <x:c r="L9" s="34"/>
      <x:c r="M9" s="3"/>
      <x:c r="N9" s="3"/>
      <x:c r="O9" s="3"/>
      <x:c r="P9" s="3"/>
      <x:c r="Q9" s="3"/>
      <x:c r="R9" s="3"/>
    </x:row>
    <x:row r="10" ht="20" customHeight="1">
      <x:c r="A10" s="40" t="str">
        <x:v>01  Test identity</x:v>
      </x:c>
      <x:c r="B10" s="40"/>
      <x:c r="C10" s="40"/>
      <x:c r="D10" s="17" t="str">
        <x:v>State cycle, change version and operating window.</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Roles and handovers</x:v>
      </x:c>
      <x:c r="B16" s="40"/>
      <x:c r="C16" s="40"/>
      <x:c r="D16" s="17" t="str">
        <x:v>Name the action owner, observer and support roles.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Practice and teach-back</x:v>
      </x:c>
      <x:c r="B22" s="40"/>
      <x:c r="C22" s="40"/>
      <x:c r="D22" s="17" t="str">
        <x:v>Record the demonstration and understanding check.</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Data and controls</x:v>
      </x:c>
      <x:c r="B28" s="40"/>
      <x:c r="C28" s="40"/>
      <x:c r="D28" s="17" t="str">
        <x:v>Confirm required fields and unchanged safeguards.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Stop, fallback and support</x:v>
      </x:c>
      <x:c r="B34" s="40"/>
      <x:c r="C34" s="40"/>
      <x:c r="D34" s="17" t="str">
        <x:v>State triggers and immediate action.</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Ready or hold</x:v>
      </x:c>
      <x:c r="B40" s="40"/>
      <x:c r="C40" s="40"/>
      <x:c r="D40" s="17" t="str">
        <x:v>Record unresolved gaps and the authority to proceed.</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Attendance is not evidence of competence. Do not proceed because a date has been booked when access, authority or understanding is missing. Staff must be able to raise concerns and stop an unsafe test without being blamed for delaying improvement.</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D01, D03, D04  |  METHOD SOURCES: U01, R02</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23.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6" hidden="0" customWidth="1"/>
    <x:col min="2" max="2" width="18" hidden="0" customWidth="1"/>
    <x:col min="3" max="3" width="34" hidden="0" customWidth="1"/>
    <x:col min="4" max="4" width="22" hidden="0" customWidth="1"/>
    <x:col min="5" max="5" width="22" hidden="0" customWidth="1"/>
    <x:col min="6" max="6" width="22" hidden="0" customWidth="1"/>
    <x:col min="7" max="7" width="14" hidden="0" customWidth="1"/>
    <x:col min="8" max="8" width="26" hidden="0" customWidth="1"/>
    <x:col min="9" max="9" width="42"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D03  Observation and time-study sheet</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Observe the process without turning improvement into personal surveillance.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Observation ID</x:v>
      </x:c>
      <x:c r="B9" s="77" t="str">
        <x:v>Cycle / version</x:v>
      </x:c>
      <x:c r="C9" s="77" t="str">
        <x:v>Activity</x:v>
      </x:c>
      <x:c r="D9" s="77" t="str">
        <x:v>Start</x:v>
      </x:c>
      <x:c r="E9" s="77" t="str">
        <x:v>Finish</x:v>
      </x:c>
      <x:c r="F9" s="77" t="str">
        <x:v>Category</x:v>
      </x:c>
      <x:c r="G9" s="77" t="str">
        <x:v>Minutes</x:v>
      </x:c>
      <x:c r="H9" s="77" t="str">
        <x:v>Check</x:v>
      </x:c>
      <x:c r="I9" s="77" t="str">
        <x:v>Evidence / conditions</x:v>
      </x:c>
      <x:c r="J9" s="3"/>
      <x:c r="K9" s="3"/>
      <x:c r="L9" s="3"/>
      <x:c r="M9" s="3"/>
      <x:c r="N9" s="3"/>
      <x:c r="O9" s="3"/>
      <x:c r="P9" s="3"/>
      <x:c r="Q9" s="3"/>
      <x:c r="R9" s="3"/>
    </x:row>
    <x:row r="10" ht="34" customHeight="1">
      <x:c r="A10" s="46"/>
      <x:c r="B10" s="46"/>
      <x:c r="C10" s="46"/>
      <x:c r="D10" s="80"/>
      <x:c r="E10" s="80"/>
      <x:c r="F10" s="46"/>
      <x:c r="G10" s="86" t="str">
        <x:f>IF(A10="","",IF(AND(COUNT(D10:E10)=2,E10&gt;=D10),(E10-D10)*'01 Setup'!$B$22*'01 Setup'!$B$21,""))</x:f>
      </x:c>
      <x:c r="H10" s="83" t="str">
        <x:f>IF(A10="","",IF(COUNT(D10:E10)&lt;2,"Complete timestamps",IF(E10&lt;D10,"Finish before start",IF(F10="","Classify activity","Review evidence"))))</x:f>
      </x:c>
      <x:c r="I10" s="46"/>
      <x:c r="J10" s="3"/>
      <x:c r="K10" s="3"/>
      <x:c r="L10" s="3"/>
      <x:c r="M10" s="3"/>
      <x:c r="N10" s="3"/>
      <x:c r="O10" s="3"/>
      <x:c r="P10" s="3"/>
      <x:c r="Q10" s="3"/>
      <x:c r="R10" s="3"/>
    </x:row>
    <x:row r="11" ht="34" customHeight="1">
      <x:c r="A11" s="46"/>
      <x:c r="B11" s="46"/>
      <x:c r="C11" s="46"/>
      <x:c r="D11" s="80"/>
      <x:c r="E11" s="80"/>
      <x:c r="F11" s="46"/>
      <x:c r="G11" s="86" t="str">
        <x:f>IF(A11="","",IF(AND(COUNT(D11:E11)=2,E11&gt;=D11),(E11-D11)*'01 Setup'!$B$22*'01 Setup'!$B$21,""))</x:f>
      </x:c>
      <x:c r="H11" s="83" t="str">
        <x:f>IF(A11="","",IF(COUNT(D11:E11)&lt;2,"Complete timestamps",IF(E11&lt;D11,"Finish before start",IF(F11="","Classify activity","Review evidence"))))</x:f>
      </x:c>
      <x:c r="I11" s="46"/>
      <x:c r="J11" s="3"/>
      <x:c r="K11" s="3"/>
      <x:c r="L11" s="3"/>
      <x:c r="M11" s="3"/>
      <x:c r="N11" s="3"/>
      <x:c r="O11" s="3"/>
      <x:c r="P11" s="3"/>
      <x:c r="Q11" s="3"/>
      <x:c r="R11" s="3"/>
    </x:row>
    <x:row r="12" ht="34" customHeight="1">
      <x:c r="A12" s="46"/>
      <x:c r="B12" s="46"/>
      <x:c r="C12" s="46"/>
      <x:c r="D12" s="80"/>
      <x:c r="E12" s="80"/>
      <x:c r="F12" s="46"/>
      <x:c r="G12" s="86" t="str">
        <x:f>IF(A12="","",IF(AND(COUNT(D12:E12)=2,E12&gt;=D12),(E12-D12)*'01 Setup'!$B$22*'01 Setup'!$B$21,""))</x:f>
      </x:c>
      <x:c r="H12" s="83" t="str">
        <x:f>IF(A12="","",IF(COUNT(D12:E12)&lt;2,"Complete timestamps",IF(E12&lt;D12,"Finish before start",IF(F12="","Classify activity","Review evidence"))))</x:f>
      </x:c>
      <x:c r="I12" s="46"/>
      <x:c r="J12" s="3"/>
      <x:c r="K12" s="3"/>
      <x:c r="L12" s="3"/>
      <x:c r="M12" s="3"/>
      <x:c r="N12" s="3"/>
      <x:c r="O12" s="3"/>
      <x:c r="P12" s="3"/>
      <x:c r="Q12" s="3"/>
      <x:c r="R12" s="3"/>
    </x:row>
    <x:row r="13" ht="34" customHeight="1">
      <x:c r="A13" s="46"/>
      <x:c r="B13" s="46"/>
      <x:c r="C13" s="46"/>
      <x:c r="D13" s="80"/>
      <x:c r="E13" s="80"/>
      <x:c r="F13" s="46"/>
      <x:c r="G13" s="86" t="str">
        <x:f>IF(A13="","",IF(AND(COUNT(D13:E13)=2,E13&gt;=D13),(E13-D13)*'01 Setup'!$B$22*'01 Setup'!$B$21,""))</x:f>
      </x:c>
      <x:c r="H13" s="83" t="str">
        <x:f>IF(A13="","",IF(COUNT(D13:E13)&lt;2,"Complete timestamps",IF(E13&lt;D13,"Finish before start",IF(F13="","Classify activity","Review evidence"))))</x:f>
      </x:c>
      <x:c r="I13" s="46"/>
      <x:c r="J13" s="3"/>
      <x:c r="K13" s="3"/>
      <x:c r="L13" s="3"/>
      <x:c r="M13" s="3"/>
      <x:c r="N13" s="3"/>
      <x:c r="O13" s="3"/>
      <x:c r="P13" s="3"/>
      <x:c r="Q13" s="3"/>
      <x:c r="R13" s="3"/>
    </x:row>
    <x:row r="14" ht="34" customHeight="1">
      <x:c r="A14" s="46"/>
      <x:c r="B14" s="46"/>
      <x:c r="C14" s="46"/>
      <x:c r="D14" s="80"/>
      <x:c r="E14" s="80"/>
      <x:c r="F14" s="46"/>
      <x:c r="G14" s="86" t="str">
        <x:f>IF(A14="","",IF(AND(COUNT(D14:E14)=2,E14&gt;=D14),(E14-D14)*'01 Setup'!$B$22*'01 Setup'!$B$21,""))</x:f>
      </x:c>
      <x:c r="H14" s="83" t="str">
        <x:f>IF(A14="","",IF(COUNT(D14:E14)&lt;2,"Complete timestamps",IF(E14&lt;D14,"Finish before start",IF(F14="","Classify activity","Review evidence"))))</x:f>
      </x:c>
      <x:c r="I14" s="46"/>
      <x:c r="J14" s="3"/>
      <x:c r="K14" s="3"/>
      <x:c r="L14" s="3"/>
      <x:c r="M14" s="3"/>
      <x:c r="N14" s="3"/>
      <x:c r="O14" s="3"/>
      <x:c r="P14" s="3"/>
      <x:c r="Q14" s="3"/>
      <x:c r="R14" s="3"/>
    </x:row>
    <x:row r="15" ht="34" customHeight="1">
      <x:c r="A15" s="46"/>
      <x:c r="B15" s="46"/>
      <x:c r="C15" s="46"/>
      <x:c r="D15" s="80"/>
      <x:c r="E15" s="80"/>
      <x:c r="F15" s="46"/>
      <x:c r="G15" s="86" t="str">
        <x:f>IF(A15="","",IF(AND(COUNT(D15:E15)=2,E15&gt;=D15),(E15-D15)*'01 Setup'!$B$22*'01 Setup'!$B$21,""))</x:f>
      </x:c>
      <x:c r="H15" s="83" t="str">
        <x:f>IF(A15="","",IF(COUNT(D15:E15)&lt;2,"Complete timestamps",IF(E15&lt;D15,"Finish before start",IF(F15="","Classify activity","Review evidence"))))</x:f>
      </x:c>
      <x:c r="I15" s="46"/>
      <x:c r="J15" s="3"/>
      <x:c r="K15" s="3"/>
      <x:c r="L15" s="3"/>
      <x:c r="M15" s="3"/>
      <x:c r="N15" s="3"/>
      <x:c r="O15" s="3"/>
      <x:c r="P15" s="3"/>
      <x:c r="Q15" s="3"/>
      <x:c r="R15" s="3"/>
    </x:row>
    <x:row r="16" ht="34" customHeight="1">
      <x:c r="A16" s="46"/>
      <x:c r="B16" s="46"/>
      <x:c r="C16" s="46"/>
      <x:c r="D16" s="80"/>
      <x:c r="E16" s="80"/>
      <x:c r="F16" s="46"/>
      <x:c r="G16" s="86" t="str">
        <x:f>IF(A16="","",IF(AND(COUNT(D16:E16)=2,E16&gt;=D16),(E16-D16)*'01 Setup'!$B$22*'01 Setup'!$B$21,""))</x:f>
      </x:c>
      <x:c r="H16" s="83" t="str">
        <x:f>IF(A16="","",IF(COUNT(D16:E16)&lt;2,"Complete timestamps",IF(E16&lt;D16,"Finish before start",IF(F16="","Classify activity","Review evidence"))))</x:f>
      </x:c>
      <x:c r="I16" s="46"/>
      <x:c r="J16" s="3"/>
      <x:c r="K16" s="3"/>
      <x:c r="L16" s="3"/>
      <x:c r="M16" s="3"/>
      <x:c r="N16" s="3"/>
      <x:c r="O16" s="3"/>
      <x:c r="P16" s="3"/>
      <x:c r="Q16" s="3"/>
      <x:c r="R16" s="3"/>
    </x:row>
    <x:row r="17" ht="34" customHeight="1">
      <x:c r="A17" s="46"/>
      <x:c r="B17" s="46"/>
      <x:c r="C17" s="46"/>
      <x:c r="D17" s="80"/>
      <x:c r="E17" s="80"/>
      <x:c r="F17" s="46"/>
      <x:c r="G17" s="86" t="str">
        <x:f>IF(A17="","",IF(AND(COUNT(D17:E17)=2,E17&gt;=D17),(E17-D17)*'01 Setup'!$B$22*'01 Setup'!$B$21,""))</x:f>
      </x:c>
      <x:c r="H17" s="83" t="str">
        <x:f>IF(A17="","",IF(COUNT(D17:E17)&lt;2,"Complete timestamps",IF(E17&lt;D17,"Finish before start",IF(F17="","Classify activity","Review evidence"))))</x:f>
      </x:c>
      <x:c r="I17" s="46"/>
      <x:c r="J17" s="3"/>
      <x:c r="K17" s="3"/>
      <x:c r="L17" s="3"/>
      <x:c r="M17" s="3"/>
      <x:c r="N17" s="3"/>
      <x:c r="O17" s="3"/>
      <x:c r="P17" s="3"/>
      <x:c r="Q17" s="3"/>
      <x:c r="R17" s="3"/>
    </x:row>
    <x:row r="18" ht="34" customHeight="1">
      <x:c r="A18" s="46"/>
      <x:c r="B18" s="46"/>
      <x:c r="C18" s="46"/>
      <x:c r="D18" s="80"/>
      <x:c r="E18" s="80"/>
      <x:c r="F18" s="46"/>
      <x:c r="G18" s="86" t="str">
        <x:f>IF(A18="","",IF(AND(COUNT(D18:E18)=2,E18&gt;=D18),(E18-D18)*'01 Setup'!$B$22*'01 Setup'!$B$21,""))</x:f>
      </x:c>
      <x:c r="H18" s="83" t="str">
        <x:f>IF(A18="","",IF(COUNT(D18:E18)&lt;2,"Complete timestamps",IF(E18&lt;D18,"Finish before start",IF(F18="","Classify activity","Review evidence"))))</x:f>
      </x:c>
      <x:c r="I18" s="46"/>
      <x:c r="J18" s="3"/>
      <x:c r="K18" s="3"/>
      <x:c r="L18" s="3"/>
      <x:c r="M18" s="3"/>
      <x:c r="N18" s="3"/>
      <x:c r="O18" s="3"/>
      <x:c r="P18" s="3"/>
      <x:c r="Q18" s="3"/>
      <x:c r="R18" s="3"/>
    </x:row>
    <x:row r="19" ht="34" customHeight="1">
      <x:c r="A19" s="46"/>
      <x:c r="B19" s="46"/>
      <x:c r="C19" s="46"/>
      <x:c r="D19" s="80"/>
      <x:c r="E19" s="80"/>
      <x:c r="F19" s="46"/>
      <x:c r="G19" s="86" t="str">
        <x:f>IF(A19="","",IF(AND(COUNT(D19:E19)=2,E19&gt;=D19),(E19-D19)*'01 Setup'!$B$22*'01 Setup'!$B$21,""))</x:f>
      </x:c>
      <x:c r="H19" s="83" t="str">
        <x:f>IF(A19="","",IF(COUNT(D19:E19)&lt;2,"Complete timestamps",IF(E19&lt;D19,"Finish before start",IF(F19="","Classify activity","Review evidence"))))</x:f>
      </x:c>
      <x:c r="I19" s="46"/>
      <x:c r="J19" s="3"/>
      <x:c r="K19" s="3"/>
      <x:c r="L19" s="3"/>
      <x:c r="M19" s="3"/>
      <x:c r="N19" s="3"/>
      <x:c r="O19" s="3"/>
      <x:c r="P19" s="3"/>
      <x:c r="Q19" s="3"/>
      <x:c r="R19" s="3"/>
    </x:row>
    <x:row r="20" ht="34" customHeight="1">
      <x:c r="A20" s="46"/>
      <x:c r="B20" s="46"/>
      <x:c r="C20" s="46"/>
      <x:c r="D20" s="80"/>
      <x:c r="E20" s="80"/>
      <x:c r="F20" s="46"/>
      <x:c r="G20" s="86" t="str">
        <x:f>IF(A20="","",IF(AND(COUNT(D20:E20)=2,E20&gt;=D20),(E20-D20)*'01 Setup'!$B$22*'01 Setup'!$B$21,""))</x:f>
      </x:c>
      <x:c r="H20" s="83" t="str">
        <x:f>IF(A20="","",IF(COUNT(D20:E20)&lt;2,"Complete timestamps",IF(E20&lt;D20,"Finish before start",IF(F20="","Classify activity","Review evidence"))))</x:f>
      </x:c>
      <x:c r="I20" s="46"/>
      <x:c r="J20" s="3"/>
      <x:c r="K20" s="3"/>
      <x:c r="L20" s="3"/>
      <x:c r="M20" s="3"/>
      <x:c r="N20" s="3"/>
      <x:c r="O20" s="3"/>
      <x:c r="P20" s="3"/>
      <x:c r="Q20" s="3"/>
      <x:c r="R20" s="3"/>
    </x:row>
    <x:row r="21" ht="34" customHeight="1">
      <x:c r="A21" s="46"/>
      <x:c r="B21" s="46"/>
      <x:c r="C21" s="46"/>
      <x:c r="D21" s="80"/>
      <x:c r="E21" s="80"/>
      <x:c r="F21" s="46"/>
      <x:c r="G21" s="86" t="str">
        <x:f>IF(A21="","",IF(AND(COUNT(D21:E21)=2,E21&gt;=D21),(E21-D21)*'01 Setup'!$B$22*'01 Setup'!$B$21,""))</x:f>
      </x:c>
      <x:c r="H21" s="83" t="str">
        <x:f>IF(A21="","",IF(COUNT(D21:E21)&lt;2,"Complete timestamps",IF(E21&lt;D21,"Finish before start",IF(F21="","Classify activity","Review evidence"))))</x:f>
      </x:c>
      <x:c r="I21" s="46"/>
      <x:c r="J21" s="3"/>
      <x:c r="K21" s="3"/>
      <x:c r="L21" s="3"/>
      <x:c r="M21" s="3"/>
      <x:c r="N21" s="3"/>
      <x:c r="O21" s="3"/>
      <x:c r="P21" s="3"/>
      <x:c r="Q21" s="3"/>
      <x:c r="R21" s="3"/>
    </x:row>
    <x:row r="22" ht="34" customHeight="1">
      <x:c r="A22" s="46"/>
      <x:c r="B22" s="46"/>
      <x:c r="C22" s="46"/>
      <x:c r="D22" s="80"/>
      <x:c r="E22" s="80"/>
      <x:c r="F22" s="46"/>
      <x:c r="G22" s="86" t="str">
        <x:f>IF(A22="","",IF(AND(COUNT(D22:E22)=2,E22&gt;=D22),(E22-D22)*'01 Setup'!$B$22*'01 Setup'!$B$21,""))</x:f>
      </x:c>
      <x:c r="H22" s="83" t="str">
        <x:f>IF(A22="","",IF(COUNT(D22:E22)&lt;2,"Complete timestamps",IF(E22&lt;D22,"Finish before start",IF(F22="","Classify activity","Review evidence"))))</x:f>
      </x:c>
      <x:c r="I22" s="46"/>
      <x:c r="J22" s="3"/>
      <x:c r="K22" s="3"/>
      <x:c r="L22" s="3"/>
      <x:c r="M22" s="3"/>
      <x:c r="N22" s="3"/>
      <x:c r="O22" s="3"/>
      <x:c r="P22" s="3"/>
      <x:c r="Q22" s="3"/>
      <x:c r="R22" s="3"/>
    </x:row>
    <x:row r="23" ht="34" customHeight="1">
      <x:c r="A23" s="46"/>
      <x:c r="B23" s="46"/>
      <x:c r="C23" s="46"/>
      <x:c r="D23" s="80"/>
      <x:c r="E23" s="80"/>
      <x:c r="F23" s="46"/>
      <x:c r="G23" s="86" t="str">
        <x:f>IF(A23="","",IF(AND(COUNT(D23:E23)=2,E23&gt;=D23),(E23-D23)*'01 Setup'!$B$22*'01 Setup'!$B$21,""))</x:f>
      </x:c>
      <x:c r="H23" s="83" t="str">
        <x:f>IF(A23="","",IF(COUNT(D23:E23)&lt;2,"Complete timestamps",IF(E23&lt;D23,"Finish before start",IF(F23="","Classify activity","Review evidence"))))</x:f>
      </x:c>
      <x:c r="I23" s="46"/>
      <x:c r="J23" s="3"/>
      <x:c r="K23" s="3"/>
      <x:c r="L23" s="3"/>
      <x:c r="M23" s="3"/>
      <x:c r="N23" s="3"/>
      <x:c r="O23" s="3"/>
      <x:c r="P23" s="3"/>
      <x:c r="Q23" s="3"/>
      <x:c r="R23" s="3"/>
    </x:row>
    <x:row r="24" ht="34" customHeight="1">
      <x:c r="A24" s="46"/>
      <x:c r="B24" s="46"/>
      <x:c r="C24" s="46"/>
      <x:c r="D24" s="80"/>
      <x:c r="E24" s="80"/>
      <x:c r="F24" s="46"/>
      <x:c r="G24" s="86" t="str">
        <x:f>IF(A24="","",IF(AND(COUNT(D24:E24)=2,E24&gt;=D24),(E24-D24)*'01 Setup'!$B$22*'01 Setup'!$B$21,""))</x:f>
      </x:c>
      <x:c r="H24" s="83" t="str">
        <x:f>IF(A24="","",IF(COUNT(D24:E24)&lt;2,"Complete timestamps",IF(E24&lt;D24,"Finish before start",IF(F24="","Classify activity","Review evidence"))))</x:f>
      </x:c>
      <x:c r="I24" s="46"/>
      <x:c r="J24" s="3"/>
      <x:c r="K24" s="3"/>
      <x:c r="L24" s="3"/>
      <x:c r="M24" s="3"/>
      <x:c r="N24" s="3"/>
      <x:c r="O24" s="3"/>
      <x:c r="P24" s="3"/>
      <x:c r="Q24" s="3"/>
      <x:c r="R24" s="3"/>
    </x:row>
    <x:row r="25" ht="34" customHeight="1">
      <x:c r="A25" s="46"/>
      <x:c r="B25" s="46"/>
      <x:c r="C25" s="46"/>
      <x:c r="D25" s="80"/>
      <x:c r="E25" s="80"/>
      <x:c r="F25" s="46"/>
      <x:c r="G25" s="86" t="str">
        <x:f>IF(A25="","",IF(AND(COUNT(D25:E25)=2,E25&gt;=D25),(E25-D25)*'01 Setup'!$B$22*'01 Setup'!$B$21,""))</x:f>
      </x:c>
      <x:c r="H25" s="83" t="str">
        <x:f>IF(A25="","",IF(COUNT(D25:E25)&lt;2,"Complete timestamps",IF(E25&lt;D25,"Finish before start",IF(F25="","Classify activity","Review evidence"))))</x:f>
      </x:c>
      <x:c r="I25" s="46"/>
      <x:c r="J25" s="3"/>
      <x:c r="K25" s="3"/>
      <x:c r="L25" s="3"/>
      <x:c r="M25" s="3"/>
      <x:c r="N25" s="3"/>
      <x:c r="O25" s="3"/>
      <x:c r="P25" s="3"/>
      <x:c r="Q25" s="3"/>
      <x:c r="R25" s="3"/>
    </x:row>
    <x:row r="26" ht="34" customHeight="1">
      <x:c r="A26" s="46"/>
      <x:c r="B26" s="46"/>
      <x:c r="C26" s="46"/>
      <x:c r="D26" s="80"/>
      <x:c r="E26" s="80"/>
      <x:c r="F26" s="46"/>
      <x:c r="G26" s="86" t="str">
        <x:f>IF(A26="","",IF(AND(COUNT(D26:E26)=2,E26&gt;=D26),(E26-D26)*'01 Setup'!$B$22*'01 Setup'!$B$21,""))</x:f>
      </x:c>
      <x:c r="H26" s="83" t="str">
        <x:f>IF(A26="","",IF(COUNT(D26:E26)&lt;2,"Complete timestamps",IF(E26&lt;D26,"Finish before start",IF(F26="","Classify activity","Review evidence"))))</x:f>
      </x:c>
      <x:c r="I26" s="46"/>
      <x:c r="J26" s="3"/>
      <x:c r="K26" s="3"/>
      <x:c r="L26" s="3"/>
      <x:c r="M26" s="3"/>
      <x:c r="N26" s="3"/>
      <x:c r="O26" s="3"/>
      <x:c r="P26" s="3"/>
      <x:c r="Q26" s="3"/>
      <x:c r="R26" s="3"/>
    </x:row>
    <x:row r="27" ht="34" customHeight="1">
      <x:c r="A27" s="46"/>
      <x:c r="B27" s="46"/>
      <x:c r="C27" s="46"/>
      <x:c r="D27" s="80"/>
      <x:c r="E27" s="80"/>
      <x:c r="F27" s="46"/>
      <x:c r="G27" s="86" t="str">
        <x:f>IF(A27="","",IF(AND(COUNT(D27:E27)=2,E27&gt;=D27),(E27-D27)*'01 Setup'!$B$22*'01 Setup'!$B$21,""))</x:f>
      </x:c>
      <x:c r="H27" s="83" t="str">
        <x:f>IF(A27="","",IF(COUNT(D27:E27)&lt;2,"Complete timestamps",IF(E27&lt;D27,"Finish before start",IF(F27="","Classify activity","Review evidence"))))</x:f>
      </x:c>
      <x:c r="I27" s="46"/>
      <x:c r="J27" s="3"/>
      <x:c r="K27" s="3"/>
      <x:c r="L27" s="3"/>
      <x:c r="M27" s="3"/>
      <x:c r="N27" s="3"/>
      <x:c r="O27" s="3"/>
      <x:c r="P27" s="3"/>
      <x:c r="Q27" s="3"/>
      <x:c r="R27" s="3"/>
    </x:row>
    <x:row r="28" ht="34" customHeight="1">
      <x:c r="A28" s="46"/>
      <x:c r="B28" s="46"/>
      <x:c r="C28" s="46"/>
      <x:c r="D28" s="80"/>
      <x:c r="E28" s="80"/>
      <x:c r="F28" s="46"/>
      <x:c r="G28" s="86" t="str">
        <x:f>IF(A28="","",IF(AND(COUNT(D28:E28)=2,E28&gt;=D28),(E28-D28)*'01 Setup'!$B$22*'01 Setup'!$B$21,""))</x:f>
      </x:c>
      <x:c r="H28" s="83" t="str">
        <x:f>IF(A28="","",IF(COUNT(D28:E28)&lt;2,"Complete timestamps",IF(E28&lt;D28,"Finish before start",IF(F28="","Classify activity","Review evidence"))))</x:f>
      </x:c>
      <x:c r="I28" s="46"/>
      <x:c r="J28" s="3"/>
      <x:c r="K28" s="3"/>
      <x:c r="L28" s="3"/>
      <x:c r="M28" s="3"/>
      <x:c r="N28" s="3"/>
      <x:c r="O28" s="3"/>
      <x:c r="P28" s="3"/>
      <x:c r="Q28" s="3"/>
      <x:c r="R28" s="3"/>
    </x:row>
    <x:row r="29" ht="34" customHeight="1">
      <x:c r="A29" s="46"/>
      <x:c r="B29" s="46"/>
      <x:c r="C29" s="46"/>
      <x:c r="D29" s="80"/>
      <x:c r="E29" s="80"/>
      <x:c r="F29" s="46"/>
      <x:c r="G29" s="86" t="str">
        <x:f>IF(A29="","",IF(AND(COUNT(D29:E29)=2,E29&gt;=D29),(E29-D29)*'01 Setup'!$B$22*'01 Setup'!$B$21,""))</x:f>
      </x:c>
      <x:c r="H29" s="83" t="str">
        <x:f>IF(A29="","",IF(COUNT(D29:E29)&lt;2,"Complete timestamps",IF(E29&lt;D29,"Finish before start",IF(F29="","Classify activity","Review evidence"))))</x:f>
      </x:c>
      <x:c r="I29" s="46"/>
      <x:c r="J29" s="3"/>
      <x:c r="K29" s="3"/>
      <x:c r="L29" s="3"/>
      <x:c r="M29" s="3"/>
      <x:c r="N29" s="3"/>
      <x:c r="O29" s="3"/>
      <x:c r="P29" s="3"/>
      <x:c r="Q29" s="3"/>
      <x:c r="R29" s="3"/>
    </x:row>
    <x:row r="30" ht="34" customHeight="1">
      <x:c r="A30" s="46"/>
      <x:c r="B30" s="46"/>
      <x:c r="C30" s="46"/>
      <x:c r="D30" s="80"/>
      <x:c r="E30" s="80"/>
      <x:c r="F30" s="46"/>
      <x:c r="G30" s="86" t="str">
        <x:f>IF(A30="","",IF(AND(COUNT(D30:E30)=2,E30&gt;=D30),(E30-D30)*'01 Setup'!$B$22*'01 Setup'!$B$21,""))</x:f>
      </x:c>
      <x:c r="H30" s="83" t="str">
        <x:f>IF(A30="","",IF(COUNT(D30:E30)&lt;2,"Complete timestamps",IF(E30&lt;D30,"Finish before start",IF(F30="","Classify activity","Review evidence"))))</x:f>
      </x:c>
      <x:c r="I30" s="46"/>
      <x:c r="J30" s="3"/>
      <x:c r="K30" s="3"/>
      <x:c r="L30" s="3"/>
      <x:c r="M30" s="3"/>
      <x:c r="N30" s="3"/>
      <x:c r="O30" s="3"/>
      <x:c r="P30" s="3"/>
      <x:c r="Q30" s="3"/>
      <x:c r="R30" s="3"/>
    </x:row>
    <x:row r="31" ht="34" customHeight="1">
      <x:c r="A31" s="46"/>
      <x:c r="B31" s="46"/>
      <x:c r="C31" s="46"/>
      <x:c r="D31" s="80"/>
      <x:c r="E31" s="80"/>
      <x:c r="F31" s="46"/>
      <x:c r="G31" s="86" t="str">
        <x:f>IF(A31="","",IF(AND(COUNT(D31:E31)=2,E31&gt;=D31),(E31-D31)*'01 Setup'!$B$22*'01 Setup'!$B$21,""))</x:f>
      </x:c>
      <x:c r="H31" s="83" t="str">
        <x:f>IF(A31="","",IF(COUNT(D31:E31)&lt;2,"Complete timestamps",IF(E31&lt;D31,"Finish before start",IF(F31="","Classify activity","Review evidence"))))</x:f>
      </x:c>
      <x:c r="I31" s="46"/>
      <x:c r="J31" s="3"/>
      <x:c r="K31" s="3"/>
      <x:c r="L31" s="3"/>
      <x:c r="M31" s="3"/>
      <x:c r="N31" s="3"/>
      <x:c r="O31" s="3"/>
      <x:c r="P31" s="3"/>
      <x:c r="Q31" s="3"/>
      <x:c r="R31" s="3"/>
    </x:row>
    <x:row r="32" ht="34" customHeight="1">
      <x:c r="A32" s="46"/>
      <x:c r="B32" s="46"/>
      <x:c r="C32" s="46"/>
      <x:c r="D32" s="80"/>
      <x:c r="E32" s="80"/>
      <x:c r="F32" s="46"/>
      <x:c r="G32" s="86" t="str">
        <x:f>IF(A32="","",IF(AND(COUNT(D32:E32)=2,E32&gt;=D32),(E32-D32)*'01 Setup'!$B$22*'01 Setup'!$B$21,""))</x:f>
      </x:c>
      <x:c r="H32" s="83" t="str">
        <x:f>IF(A32="","",IF(COUNT(D32:E32)&lt;2,"Complete timestamps",IF(E32&lt;D32,"Finish before start",IF(F32="","Classify activity","Review evidence"))))</x:f>
      </x:c>
      <x:c r="I32" s="46"/>
      <x:c r="J32" s="3"/>
      <x:c r="K32" s="3"/>
      <x:c r="L32" s="3"/>
      <x:c r="M32" s="3"/>
      <x:c r="N32" s="3"/>
      <x:c r="O32" s="3"/>
      <x:c r="P32" s="3"/>
      <x:c r="Q32" s="3"/>
      <x:c r="R32" s="3"/>
    </x:row>
    <x:row r="33" ht="34" customHeight="1">
      <x:c r="A33" s="46"/>
      <x:c r="B33" s="46"/>
      <x:c r="C33" s="46"/>
      <x:c r="D33" s="80"/>
      <x:c r="E33" s="80"/>
      <x:c r="F33" s="46"/>
      <x:c r="G33" s="86" t="str">
        <x:f>IF(A33="","",IF(AND(COUNT(D33:E33)=2,E33&gt;=D33),(E33-D33)*'01 Setup'!$B$22*'01 Setup'!$B$21,""))</x:f>
      </x:c>
      <x:c r="H33" s="83" t="str">
        <x:f>IF(A33="","",IF(COUNT(D33:E33)&lt;2,"Complete timestamps",IF(E33&lt;D33,"Finish before start",IF(F33="","Classify activity","Review evidence"))))</x:f>
      </x:c>
      <x:c r="I33" s="46"/>
      <x:c r="J33" s="3"/>
      <x:c r="K33" s="3"/>
      <x:c r="L33" s="3"/>
      <x:c r="M33" s="3"/>
      <x:c r="N33" s="3"/>
      <x:c r="O33" s="3"/>
      <x:c r="P33" s="3"/>
      <x:c r="Q33" s="3"/>
      <x:c r="R33" s="3"/>
    </x:row>
    <x:row r="34" ht="34" customHeight="1">
      <x:c r="A34" s="46"/>
      <x:c r="B34" s="46"/>
      <x:c r="C34" s="46"/>
      <x:c r="D34" s="80"/>
      <x:c r="E34" s="80"/>
      <x:c r="F34" s="46"/>
      <x:c r="G34" s="86" t="str">
        <x:f>IF(A34="","",IF(AND(COUNT(D34:E34)=2,E34&gt;=D34),(E34-D34)*'01 Setup'!$B$22*'01 Setup'!$B$21,""))</x:f>
      </x:c>
      <x:c r="H34" s="83" t="str">
        <x:f>IF(A34="","",IF(COUNT(D34:E34)&lt;2,"Complete timestamps",IF(E34&lt;D34,"Finish before start",IF(F34="","Classify activity","Review evidence"))))</x:f>
      </x:c>
      <x:c r="I34" s="46"/>
      <x:c r="J34" s="3"/>
      <x:c r="K34" s="3"/>
      <x:c r="L34" s="3"/>
      <x:c r="M34" s="3"/>
      <x:c r="N34" s="3"/>
      <x:c r="O34" s="3"/>
      <x:c r="P34" s="3"/>
      <x:c r="Q34" s="3"/>
      <x:c r="R34" s="3"/>
    </x:row>
    <x:row r="35" ht="34" customHeight="1">
      <x:c r="A35" s="46"/>
      <x:c r="B35" s="46"/>
      <x:c r="C35" s="46"/>
      <x:c r="D35" s="80"/>
      <x:c r="E35" s="80"/>
      <x:c r="F35" s="46"/>
      <x:c r="G35" s="86" t="str">
        <x:f>IF(A35="","",IF(AND(COUNT(D35:E35)=2,E35&gt;=D35),(E35-D35)*'01 Setup'!$B$22*'01 Setup'!$B$21,""))</x:f>
      </x:c>
      <x:c r="H35" s="83" t="str">
        <x:f>IF(A35="","",IF(COUNT(D35:E35)&lt;2,"Complete timestamps",IF(E35&lt;D35,"Finish before start",IF(F35="","Classify activity","Review evidence"))))</x:f>
      </x:c>
      <x:c r="I35" s="46"/>
      <x:c r="J35" s="3"/>
      <x:c r="K35" s="3"/>
      <x:c r="L35" s="3"/>
      <x:c r="M35" s="3"/>
      <x:c r="N35" s="3"/>
      <x:c r="O35" s="3"/>
      <x:c r="P35" s="3"/>
      <x:c r="Q35" s="3"/>
      <x:c r="R35" s="3"/>
    </x:row>
    <x:row r="36" ht="34" customHeight="1">
      <x:c r="A36" s="46"/>
      <x:c r="B36" s="46"/>
      <x:c r="C36" s="46"/>
      <x:c r="D36" s="80"/>
      <x:c r="E36" s="80"/>
      <x:c r="F36" s="46"/>
      <x:c r="G36" s="86" t="str">
        <x:f>IF(A36="","",IF(AND(COUNT(D36:E36)=2,E36&gt;=D36),(E36-D36)*'01 Setup'!$B$22*'01 Setup'!$B$21,""))</x:f>
      </x:c>
      <x:c r="H36" s="83" t="str">
        <x:f>IF(A36="","",IF(COUNT(D36:E36)&lt;2,"Complete timestamps",IF(E36&lt;D36,"Finish before start",IF(F36="","Classify activity","Review evidence"))))</x:f>
      </x:c>
      <x:c r="I36" s="46"/>
      <x:c r="J36" s="3"/>
      <x:c r="K36" s="3"/>
      <x:c r="L36" s="3"/>
      <x:c r="M36" s="3"/>
      <x:c r="N36" s="3"/>
      <x:c r="O36" s="3"/>
      <x:c r="P36" s="3"/>
      <x:c r="Q36" s="3"/>
      <x:c r="R36" s="3"/>
    </x:row>
    <x:row r="37" ht="34" customHeight="1">
      <x:c r="A37" s="46"/>
      <x:c r="B37" s="46"/>
      <x:c r="C37" s="46"/>
      <x:c r="D37" s="80"/>
      <x:c r="E37" s="80"/>
      <x:c r="F37" s="46"/>
      <x:c r="G37" s="86" t="str">
        <x:f>IF(A37="","",IF(AND(COUNT(D37:E37)=2,E37&gt;=D37),(E37-D37)*'01 Setup'!$B$22*'01 Setup'!$B$21,""))</x:f>
      </x:c>
      <x:c r="H37" s="83" t="str">
        <x:f>IF(A37="","",IF(COUNT(D37:E37)&lt;2,"Complete timestamps",IF(E37&lt;D37,"Finish before start",IF(F37="","Classify activity","Review evidence"))))</x:f>
      </x:c>
      <x:c r="I37" s="46"/>
      <x:c r="J37" s="3"/>
      <x:c r="K37" s="3"/>
      <x:c r="L37" s="3"/>
      <x:c r="M37" s="3"/>
      <x:c r="N37" s="3"/>
      <x:c r="O37" s="3"/>
      <x:c r="P37" s="3"/>
      <x:c r="Q37" s="3"/>
      <x:c r="R37" s="3"/>
    </x:row>
    <x:row r="38" ht="34" customHeight="1">
      <x:c r="A38" s="46"/>
      <x:c r="B38" s="46"/>
      <x:c r="C38" s="46"/>
      <x:c r="D38" s="80"/>
      <x:c r="E38" s="80"/>
      <x:c r="F38" s="46"/>
      <x:c r="G38" s="86" t="str">
        <x:f>IF(A38="","",IF(AND(COUNT(D38:E38)=2,E38&gt;=D38),(E38-D38)*'01 Setup'!$B$22*'01 Setup'!$B$21,""))</x:f>
      </x:c>
      <x:c r="H38" s="83" t="str">
        <x:f>IF(A38="","",IF(COUNT(D38:E38)&lt;2,"Complete timestamps",IF(E38&lt;D38,"Finish before start",IF(F38="","Classify activity","Review evidence"))))</x:f>
      </x:c>
      <x:c r="I38" s="46"/>
      <x:c r="J38" s="3"/>
      <x:c r="K38" s="3"/>
      <x:c r="L38" s="3"/>
      <x:c r="M38" s="3"/>
      <x:c r="N38" s="3"/>
      <x:c r="O38" s="3"/>
      <x:c r="P38" s="3"/>
      <x:c r="Q38" s="3"/>
      <x:c r="R38" s="3"/>
    </x:row>
    <x:row r="39" ht="34" customHeight="1">
      <x:c r="A39" s="46"/>
      <x:c r="B39" s="46"/>
      <x:c r="C39" s="46"/>
      <x:c r="D39" s="80"/>
      <x:c r="E39" s="80"/>
      <x:c r="F39" s="46"/>
      <x:c r="G39" s="86" t="str">
        <x:f>IF(A39="","",IF(AND(COUNT(D39:E39)=2,E39&gt;=D39),(E39-D39)*'01 Setup'!$B$22*'01 Setup'!$B$21,""))</x:f>
      </x:c>
      <x:c r="H39" s="83" t="str">
        <x:f>IF(A39="","",IF(COUNT(D39:E39)&lt;2,"Complete timestamps",IF(E39&lt;D39,"Finish before start",IF(F39="","Classify activity","Review evidence"))))</x:f>
      </x:c>
      <x:c r="I39" s="46"/>
      <x:c r="J39" s="3"/>
      <x:c r="K39" s="3"/>
      <x:c r="L39" s="3"/>
      <x:c r="M39" s="3"/>
      <x:c r="N39" s="3"/>
      <x:c r="O39" s="3"/>
      <x:c r="P39" s="3"/>
      <x:c r="Q39" s="3"/>
      <x:c r="R39" s="3"/>
    </x:row>
    <x:row r="40" ht="34" customHeight="1">
      <x:c r="A40" s="46"/>
      <x:c r="B40" s="46"/>
      <x:c r="C40" s="46"/>
      <x:c r="D40" s="80"/>
      <x:c r="E40" s="80"/>
      <x:c r="F40" s="46"/>
      <x:c r="G40" s="86" t="str">
        <x:f>IF(A40="","",IF(AND(COUNT(D40:E40)=2,E40&gt;=D40),(E40-D40)*'01 Setup'!$B$22*'01 Setup'!$B$21,""))</x:f>
      </x:c>
      <x:c r="H40" s="83" t="str">
        <x:f>IF(A40="","",IF(COUNT(D40:E40)&lt;2,"Complete timestamps",IF(E40&lt;D40,"Finish before start",IF(F40="","Classify activity","Review evidence"))))</x:f>
      </x:c>
      <x:c r="I40" s="46"/>
      <x:c r="J40" s="3"/>
      <x:c r="K40" s="3"/>
      <x:c r="L40" s="3"/>
      <x:c r="M40" s="3"/>
      <x:c r="N40" s="3"/>
      <x:c r="O40" s="3"/>
      <x:c r="P40" s="3"/>
      <x:c r="Q40" s="3"/>
      <x:c r="R40" s="3"/>
    </x:row>
    <x:row r="41" ht="34" customHeight="1">
      <x:c r="A41" s="46"/>
      <x:c r="B41" s="46"/>
      <x:c r="C41" s="46"/>
      <x:c r="D41" s="80"/>
      <x:c r="E41" s="80"/>
      <x:c r="F41" s="46"/>
      <x:c r="G41" s="86" t="str">
        <x:f>IF(A41="","",IF(AND(COUNT(D41:E41)=2,E41&gt;=D41),(E41-D41)*'01 Setup'!$B$22*'01 Setup'!$B$21,""))</x:f>
      </x:c>
      <x:c r="H41" s="83" t="str">
        <x:f>IF(A41="","",IF(COUNT(D41:E41)&lt;2,"Complete timestamps",IF(E41&lt;D41,"Finish before start",IF(F41="","Classify activity","Review evidence"))))</x:f>
      </x:c>
      <x:c r="I41" s="46"/>
      <x:c r="J41" s="3"/>
      <x:c r="K41" s="3"/>
      <x:c r="L41" s="3"/>
      <x:c r="M41" s="3"/>
      <x:c r="N41" s="3"/>
      <x:c r="O41" s="3"/>
      <x:c r="P41" s="3"/>
      <x:c r="Q41" s="3"/>
      <x:c r="R41" s="3"/>
    </x:row>
    <x:row r="42" ht="34" customHeight="1">
      <x:c r="A42" s="46"/>
      <x:c r="B42" s="46"/>
      <x:c r="C42" s="46"/>
      <x:c r="D42" s="80"/>
      <x:c r="E42" s="80"/>
      <x:c r="F42" s="46"/>
      <x:c r="G42" s="86" t="str">
        <x:f>IF(A42="","",IF(AND(COUNT(D42:E42)=2,E42&gt;=D42),(E42-D42)*'01 Setup'!$B$22*'01 Setup'!$B$21,""))</x:f>
      </x:c>
      <x:c r="H42" s="83" t="str">
        <x:f>IF(A42="","",IF(COUNT(D42:E42)&lt;2,"Complete timestamps",IF(E42&lt;D42,"Finish before start",IF(F42="","Classify activity","Review evidence"))))</x:f>
      </x:c>
      <x:c r="I42" s="46"/>
      <x:c r="J42" s="3"/>
      <x:c r="K42" s="3"/>
      <x:c r="L42" s="3"/>
      <x:c r="M42" s="3"/>
      <x:c r="N42" s="3"/>
      <x:c r="O42" s="3"/>
      <x:c r="P42" s="3"/>
      <x:c r="Q42" s="3"/>
      <x:c r="R42" s="3"/>
    </x:row>
    <x:row r="43" ht="34" customHeight="1">
      <x:c r="A43" s="46"/>
      <x:c r="B43" s="46"/>
      <x:c r="C43" s="46"/>
      <x:c r="D43" s="80"/>
      <x:c r="E43" s="80"/>
      <x:c r="F43" s="46"/>
      <x:c r="G43" s="86" t="str">
        <x:f>IF(A43="","",IF(AND(COUNT(D43:E43)=2,E43&gt;=D43),(E43-D43)*'01 Setup'!$B$22*'01 Setup'!$B$21,""))</x:f>
      </x:c>
      <x:c r="H43" s="83" t="str">
        <x:f>IF(A43="","",IF(COUNT(D43:E43)&lt;2,"Complete timestamps",IF(E43&lt;D43,"Finish before start",IF(F43="","Classify activity","Review evidence"))))</x:f>
      </x:c>
      <x:c r="I43" s="46"/>
      <x:c r="J43" s="3"/>
      <x:c r="K43" s="3"/>
      <x:c r="L43" s="3"/>
      <x:c r="M43" s="3"/>
      <x:c r="N43" s="3"/>
      <x:c r="O43" s="3"/>
      <x:c r="P43" s="3"/>
      <x:c r="Q43" s="3"/>
      <x:c r="R43" s="3"/>
    </x:row>
    <x:row r="44" ht="34" customHeight="1">
      <x:c r="A44" s="46"/>
      <x:c r="B44" s="46"/>
      <x:c r="C44" s="46"/>
      <x:c r="D44" s="80"/>
      <x:c r="E44" s="80"/>
      <x:c r="F44" s="46"/>
      <x:c r="G44" s="86" t="str">
        <x:f>IF(A44="","",IF(AND(COUNT(D44:E44)=2,E44&gt;=D44),(E44-D44)*'01 Setup'!$B$22*'01 Setup'!$B$21,""))</x:f>
      </x:c>
      <x:c r="H44" s="83" t="str">
        <x:f>IF(A44="","",IF(COUNT(D44:E44)&lt;2,"Complete timestamps",IF(E44&lt;D44,"Finish before start",IF(F44="","Classify activity","Review evidence"))))</x:f>
      </x:c>
      <x:c r="I44" s="46"/>
      <x:c r="J44" s="3"/>
      <x:c r="K44" s="3"/>
      <x:c r="L44" s="3"/>
      <x:c r="M44" s="3"/>
      <x:c r="N44" s="3"/>
      <x:c r="O44" s="3"/>
      <x:c r="P44" s="3"/>
      <x:c r="Q44" s="3"/>
      <x:c r="R44" s="3"/>
    </x:row>
    <x:row r="45" ht="34" customHeight="1">
      <x:c r="A45" s="46"/>
      <x:c r="B45" s="46"/>
      <x:c r="C45" s="46"/>
      <x:c r="D45" s="80"/>
      <x:c r="E45" s="80"/>
      <x:c r="F45" s="46"/>
      <x:c r="G45" s="86" t="str">
        <x:f>IF(A45="","",IF(AND(COUNT(D45:E45)=2,E45&gt;=D45),(E45-D45)*'01 Setup'!$B$22*'01 Setup'!$B$21,""))</x:f>
      </x:c>
      <x:c r="H45" s="83" t="str">
        <x:f>IF(A45="","",IF(COUNT(D45:E45)&lt;2,"Complete timestamps",IF(E45&lt;D45,"Finish before start",IF(F45="","Classify activity","Review evidence"))))</x:f>
      </x:c>
      <x:c r="I45" s="46"/>
      <x:c r="J45" s="3"/>
      <x:c r="K45" s="3"/>
      <x:c r="L45" s="3"/>
      <x:c r="M45" s="3"/>
      <x:c r="N45" s="3"/>
      <x:c r="O45" s="3"/>
      <x:c r="P45" s="3"/>
      <x:c r="Q45" s="3"/>
      <x:c r="R45" s="3"/>
    </x:row>
    <x:row r="46" ht="34" customHeight="1">
      <x:c r="A46" s="46"/>
      <x:c r="B46" s="46"/>
      <x:c r="C46" s="46"/>
      <x:c r="D46" s="80"/>
      <x:c r="E46" s="80"/>
      <x:c r="F46" s="46"/>
      <x:c r="G46" s="86" t="str">
        <x:f>IF(A46="","",IF(AND(COUNT(D46:E46)=2,E46&gt;=D46),(E46-D46)*'01 Setup'!$B$22*'01 Setup'!$B$21,""))</x:f>
      </x:c>
      <x:c r="H46" s="83" t="str">
        <x:f>IF(A46="","",IF(COUNT(D46:E46)&lt;2,"Complete timestamps",IF(E46&lt;D46,"Finish before start",IF(F46="","Classify activity","Review evidence"))))</x:f>
      </x:c>
      <x:c r="I46" s="46"/>
      <x:c r="J46" s="3"/>
      <x:c r="K46" s="3"/>
      <x:c r="L46" s="3"/>
      <x:c r="M46" s="3"/>
      <x:c r="N46" s="3"/>
      <x:c r="O46" s="3"/>
      <x:c r="P46" s="3"/>
      <x:c r="Q46" s="3"/>
      <x:c r="R46" s="3"/>
    </x:row>
    <x:row r="47" ht="34" customHeight="1">
      <x:c r="A47" s="46"/>
      <x:c r="B47" s="46"/>
      <x:c r="C47" s="46"/>
      <x:c r="D47" s="80"/>
      <x:c r="E47" s="80"/>
      <x:c r="F47" s="46"/>
      <x:c r="G47" s="86" t="str">
        <x:f>IF(A47="","",IF(AND(COUNT(D47:E47)=2,E47&gt;=D47),(E47-D47)*'01 Setup'!$B$22*'01 Setup'!$B$21,""))</x:f>
      </x:c>
      <x:c r="H47" s="83" t="str">
        <x:f>IF(A47="","",IF(COUNT(D47:E47)&lt;2,"Complete timestamps",IF(E47&lt;D47,"Finish before start",IF(F47="","Classify activity","Review evidence"))))</x:f>
      </x:c>
      <x:c r="I47" s="46"/>
      <x:c r="J47" s="3"/>
      <x:c r="K47" s="3"/>
      <x:c r="L47" s="3"/>
      <x:c r="M47" s="3"/>
      <x:c r="N47" s="3"/>
      <x:c r="O47" s="3"/>
      <x:c r="P47" s="3"/>
      <x:c r="Q47" s="3"/>
      <x:c r="R47" s="3"/>
    </x:row>
    <x:row r="48" ht="34" customHeight="1">
      <x:c r="A48" s="46"/>
      <x:c r="B48" s="46"/>
      <x:c r="C48" s="46"/>
      <x:c r="D48" s="80"/>
      <x:c r="E48" s="80"/>
      <x:c r="F48" s="46"/>
      <x:c r="G48" s="86" t="str">
        <x:f>IF(A48="","",IF(AND(COUNT(D48:E48)=2,E48&gt;=D48),(E48-D48)*'01 Setup'!$B$22*'01 Setup'!$B$21,""))</x:f>
      </x:c>
      <x:c r="H48" s="83" t="str">
        <x:f>IF(A48="","",IF(COUNT(D48:E48)&lt;2,"Complete timestamps",IF(E48&lt;D48,"Finish before start",IF(F48="","Classify activity","Review evidence"))))</x:f>
      </x:c>
      <x:c r="I48" s="46"/>
      <x:c r="J48" s="3"/>
      <x:c r="K48" s="3"/>
      <x:c r="L48" s="3"/>
      <x:c r="M48" s="3"/>
      <x:c r="N48" s="3"/>
      <x:c r="O48" s="3"/>
      <x:c r="P48" s="3"/>
      <x:c r="Q48" s="3"/>
      <x:c r="R48" s="3"/>
    </x:row>
    <x:row r="49" ht="34" customHeight="1">
      <x:c r="A49" s="46"/>
      <x:c r="B49" s="46"/>
      <x:c r="C49" s="46"/>
      <x:c r="D49" s="80"/>
      <x:c r="E49" s="80"/>
      <x:c r="F49" s="46"/>
      <x:c r="G49" s="86" t="str">
        <x:f>IF(A49="","",IF(AND(COUNT(D49:E49)=2,E49&gt;=D49),(E49-D49)*'01 Setup'!$B$22*'01 Setup'!$B$21,""))</x:f>
      </x:c>
      <x:c r="H49" s="83" t="str">
        <x:f>IF(A49="","",IF(COUNT(D49:E49)&lt;2,"Complete timestamps",IF(E49&lt;D49,"Finish before start",IF(F49="","Classify activity","Review evidence"))))</x:f>
      </x:c>
      <x:c r="I49" s="46"/>
      <x:c r="J49" s="3"/>
      <x:c r="K49" s="3"/>
      <x:c r="L49" s="3"/>
      <x:c r="M49" s="3"/>
      <x:c r="N49" s="3"/>
      <x:c r="O49" s="3"/>
      <x:c r="P49" s="3"/>
      <x:c r="Q49" s="3"/>
      <x:c r="R49" s="3"/>
    </x:row>
    <x:row r="50" ht="34" customHeight="1">
      <x:c r="A50" s="46"/>
      <x:c r="B50" s="46"/>
      <x:c r="C50" s="46"/>
      <x:c r="D50" s="80"/>
      <x:c r="E50" s="80"/>
      <x:c r="F50" s="46"/>
      <x:c r="G50" s="86" t="str">
        <x:f>IF(A50="","",IF(AND(COUNT(D50:E50)=2,E50&gt;=D50),(E50-D50)*'01 Setup'!$B$22*'01 Setup'!$B$21,""))</x:f>
      </x:c>
      <x:c r="H50" s="83" t="str">
        <x:f>IF(A50="","",IF(COUNT(D50:E50)&lt;2,"Complete timestamps",IF(E50&lt;D50,"Finish before start",IF(F50="","Classify activity","Review evidence"))))</x:f>
      </x:c>
      <x:c r="I50" s="46"/>
      <x:c r="J50" s="3"/>
      <x:c r="K50" s="3"/>
      <x:c r="L50" s="3"/>
      <x:c r="M50" s="3"/>
      <x:c r="N50" s="3"/>
      <x:c r="O50" s="3"/>
      <x:c r="P50" s="3"/>
      <x:c r="Q50" s="3"/>
      <x:c r="R50" s="3"/>
    </x:row>
    <x:row r="51" ht="34" customHeight="1">
      <x:c r="A51" s="46"/>
      <x:c r="B51" s="46"/>
      <x:c r="C51" s="46"/>
      <x:c r="D51" s="80"/>
      <x:c r="E51" s="80"/>
      <x:c r="F51" s="46"/>
      <x:c r="G51" s="86" t="str">
        <x:f>IF(A51="","",IF(AND(COUNT(D51:E51)=2,E51&gt;=D51),(E51-D51)*'01 Setup'!$B$22*'01 Setup'!$B$21,""))</x:f>
      </x:c>
      <x:c r="H51" s="83" t="str">
        <x:f>IF(A51="","",IF(COUNT(D51:E51)&lt;2,"Complete timestamps",IF(E51&lt;D51,"Finish before start",IF(F51="","Classify activity","Review evidence"))))</x:f>
      </x:c>
      <x:c r="I51" s="46"/>
      <x:c r="J51" s="3"/>
      <x:c r="K51" s="3"/>
      <x:c r="L51" s="3"/>
      <x:c r="M51" s="3"/>
      <x:c r="N51" s="3"/>
      <x:c r="O51" s="3"/>
      <x:c r="P51" s="3"/>
      <x:c r="Q51" s="3"/>
      <x:c r="R51" s="3"/>
    </x:row>
    <x:row r="52" ht="34" customHeight="1">
      <x:c r="A52" s="46"/>
      <x:c r="B52" s="46"/>
      <x:c r="C52" s="46"/>
      <x:c r="D52" s="80"/>
      <x:c r="E52" s="80"/>
      <x:c r="F52" s="46"/>
      <x:c r="G52" s="86" t="str">
        <x:f>IF(A52="","",IF(AND(COUNT(D52:E52)=2,E52&gt;=D52),(E52-D52)*'01 Setup'!$B$22*'01 Setup'!$B$21,""))</x:f>
      </x:c>
      <x:c r="H52" s="83" t="str">
        <x:f>IF(A52="","",IF(COUNT(D52:E52)&lt;2,"Complete timestamps",IF(E52&lt;D52,"Finish before start",IF(F52="","Classify activity","Review evidence"))))</x:f>
      </x:c>
      <x:c r="I52" s="46"/>
      <x:c r="J52" s="3"/>
      <x:c r="K52" s="3"/>
      <x:c r="L52" s="3"/>
      <x:c r="M52" s="3"/>
      <x:c r="N52" s="3"/>
      <x:c r="O52" s="3"/>
      <x:c r="P52" s="3"/>
      <x:c r="Q52" s="3"/>
      <x:c r="R52" s="3"/>
    </x:row>
    <x:row r="53" ht="34" customHeight="1">
      <x:c r="A53" s="46"/>
      <x:c r="B53" s="46"/>
      <x:c r="C53" s="46"/>
      <x:c r="D53" s="80"/>
      <x:c r="E53" s="80"/>
      <x:c r="F53" s="46"/>
      <x:c r="G53" s="86" t="str">
        <x:f>IF(A53="","",IF(AND(COUNT(D53:E53)=2,E53&gt;=D53),(E53-D53)*'01 Setup'!$B$22*'01 Setup'!$B$21,""))</x:f>
      </x:c>
      <x:c r="H53" s="83" t="str">
        <x:f>IF(A53="","",IF(COUNT(D53:E53)&lt;2,"Complete timestamps",IF(E53&lt;D53,"Finish before start",IF(F53="","Classify activity","Review evidence"))))</x:f>
      </x:c>
      <x:c r="I53" s="46"/>
      <x:c r="J53" s="3"/>
      <x:c r="K53" s="3"/>
      <x:c r="L53" s="3"/>
      <x:c r="M53" s="3"/>
      <x:c r="N53" s="3"/>
      <x:c r="O53" s="3"/>
      <x:c r="P53" s="3"/>
      <x:c r="Q53" s="3"/>
      <x:c r="R53" s="3"/>
    </x:row>
    <x:row r="54" ht="34" customHeight="1">
      <x:c r="A54" s="46"/>
      <x:c r="B54" s="46"/>
      <x:c r="C54" s="46"/>
      <x:c r="D54" s="80"/>
      <x:c r="E54" s="80"/>
      <x:c r="F54" s="46"/>
      <x:c r="G54" s="86" t="str">
        <x:f>IF(A54="","",IF(AND(COUNT(D54:E54)=2,E54&gt;=D54),(E54-D54)*'01 Setup'!$B$22*'01 Setup'!$B$21,""))</x:f>
      </x:c>
      <x:c r="H54" s="83" t="str">
        <x:f>IF(A54="","",IF(COUNT(D54:E54)&lt;2,"Complete timestamps",IF(E54&lt;D54,"Finish before start",IF(F54="","Classify activity","Review evidence"))))</x:f>
      </x:c>
      <x:c r="I54" s="46"/>
      <x:c r="J54" s="3"/>
      <x:c r="K54" s="3"/>
      <x:c r="L54" s="3"/>
      <x:c r="M54" s="3"/>
      <x:c r="N54" s="3"/>
      <x:c r="O54" s="3"/>
      <x:c r="P54" s="3"/>
      <x:c r="Q54" s="3"/>
      <x:c r="R54" s="3"/>
    </x:row>
    <x:row r="55" ht="34" customHeight="1">
      <x:c r="A55" s="46"/>
      <x:c r="B55" s="46"/>
      <x:c r="C55" s="46"/>
      <x:c r="D55" s="80"/>
      <x:c r="E55" s="80"/>
      <x:c r="F55" s="46"/>
      <x:c r="G55" s="86" t="str">
        <x:f>IF(A55="","",IF(AND(COUNT(D55:E55)=2,E55&gt;=D55),(E55-D55)*'01 Setup'!$B$22*'01 Setup'!$B$21,""))</x:f>
      </x:c>
      <x:c r="H55" s="83" t="str">
        <x:f>IF(A55="","",IF(COUNT(D55:E55)&lt;2,"Complete timestamps",IF(E55&lt;D55,"Finish before start",IF(F55="","Classify activity","Review evidence"))))</x:f>
      </x:c>
      <x:c r="I55" s="46"/>
      <x:c r="J55" s="3"/>
      <x:c r="K55" s="3"/>
      <x:c r="L55" s="3"/>
      <x:c r="M55" s="3"/>
      <x:c r="N55" s="3"/>
      <x:c r="O55" s="3"/>
      <x:c r="P55" s="3"/>
      <x:c r="Q55" s="3"/>
      <x:c r="R55" s="3"/>
    </x:row>
    <x:row r="56" ht="34" customHeight="1">
      <x:c r="A56" s="46"/>
      <x:c r="B56" s="46"/>
      <x:c r="C56" s="46"/>
      <x:c r="D56" s="80"/>
      <x:c r="E56" s="80"/>
      <x:c r="F56" s="46"/>
      <x:c r="G56" s="86" t="str">
        <x:f>IF(A56="","",IF(AND(COUNT(D56:E56)=2,E56&gt;=D56),(E56-D56)*'01 Setup'!$B$22*'01 Setup'!$B$21,""))</x:f>
      </x:c>
      <x:c r="H56" s="83" t="str">
        <x:f>IF(A56="","",IF(COUNT(D56:E56)&lt;2,"Complete timestamps",IF(E56&lt;D56,"Finish before start",IF(F56="","Classify activity","Review evidence"))))</x:f>
      </x:c>
      <x:c r="I56" s="46"/>
      <x:c r="J56" s="3"/>
      <x:c r="K56" s="3"/>
      <x:c r="L56" s="3"/>
      <x:c r="M56" s="3"/>
      <x:c r="N56" s="3"/>
      <x:c r="O56" s="3"/>
      <x:c r="P56" s="3"/>
      <x:c r="Q56" s="3"/>
      <x:c r="R56" s="3"/>
    </x:row>
    <x:row r="57" ht="34" customHeight="1">
      <x:c r="A57" s="46"/>
      <x:c r="B57" s="46"/>
      <x:c r="C57" s="46"/>
      <x:c r="D57" s="80"/>
      <x:c r="E57" s="80"/>
      <x:c r="F57" s="46"/>
      <x:c r="G57" s="86" t="str">
        <x:f>IF(A57="","",IF(AND(COUNT(D57:E57)=2,E57&gt;=D57),(E57-D57)*'01 Setup'!$B$22*'01 Setup'!$B$21,""))</x:f>
      </x:c>
      <x:c r="H57" s="83" t="str">
        <x:f>IF(A57="","",IF(COUNT(D57:E57)&lt;2,"Complete timestamps",IF(E57&lt;D57,"Finish before start",IF(F57="","Classify activity","Review evidence"))))</x:f>
      </x:c>
      <x:c r="I57" s="46"/>
      <x:c r="J57" s="3"/>
      <x:c r="K57" s="3"/>
      <x:c r="L57" s="3"/>
      <x:c r="M57" s="3"/>
      <x:c r="N57" s="3"/>
      <x:c r="O57" s="3"/>
      <x:c r="P57" s="3"/>
      <x:c r="Q57" s="3"/>
      <x:c r="R57" s="3"/>
    </x:row>
    <x:row r="58" ht="34" customHeight="1">
      <x:c r="A58" s="46"/>
      <x:c r="B58" s="46"/>
      <x:c r="C58" s="46"/>
      <x:c r="D58" s="80"/>
      <x:c r="E58" s="80"/>
      <x:c r="F58" s="46"/>
      <x:c r="G58" s="86" t="str">
        <x:f>IF(A58="","",IF(AND(COUNT(D58:E58)=2,E58&gt;=D58),(E58-D58)*'01 Setup'!$B$22*'01 Setup'!$B$21,""))</x:f>
      </x:c>
      <x:c r="H58" s="83" t="str">
        <x:f>IF(A58="","",IF(COUNT(D58:E58)&lt;2,"Complete timestamps",IF(E58&lt;D58,"Finish before start",IF(F58="","Classify activity","Review evidence"))))</x:f>
      </x:c>
      <x:c r="I58" s="46"/>
      <x:c r="J58" s="3"/>
      <x:c r="K58" s="3"/>
      <x:c r="L58" s="3"/>
      <x:c r="M58" s="3"/>
      <x:c r="N58" s="3"/>
      <x:c r="O58" s="3"/>
      <x:c r="P58" s="3"/>
      <x:c r="Q58" s="3"/>
      <x:c r="R58" s="3"/>
    </x:row>
    <x:row r="59" ht="34" customHeight="1">
      <x:c r="A59" s="46"/>
      <x:c r="B59" s="46"/>
      <x:c r="C59" s="46"/>
      <x:c r="D59" s="80"/>
      <x:c r="E59" s="80"/>
      <x:c r="F59" s="46"/>
      <x:c r="G59" s="86" t="str">
        <x:f>IF(A59="","",IF(AND(COUNT(D59:E59)=2,E59&gt;=D59),(E59-D59)*'01 Setup'!$B$22*'01 Setup'!$B$21,""))</x:f>
      </x:c>
      <x:c r="H59" s="83" t="str">
        <x:f>IF(A59="","",IF(COUNT(D59:E59)&lt;2,"Complete timestamps",IF(E59&lt;D59,"Finish before start",IF(F59="","Classify activity","Review evidence"))))</x:f>
      </x:c>
      <x:c r="I59" s="46"/>
      <x:c r="J59" s="3"/>
      <x:c r="K59" s="3"/>
      <x:c r="L59" s="3"/>
      <x:c r="M59" s="3"/>
      <x:c r="N59" s="3"/>
      <x:c r="O59" s="3"/>
      <x:c r="P59" s="3"/>
      <x:c r="Q59" s="3"/>
      <x:c r="R59" s="3"/>
    </x:row>
    <x:row r="60" ht="34" customHeight="1">
      <x:c r="A60" s="46"/>
      <x:c r="B60" s="46"/>
      <x:c r="C60" s="46"/>
      <x:c r="D60" s="80"/>
      <x:c r="E60" s="80"/>
      <x:c r="F60" s="46"/>
      <x:c r="G60" s="86" t="str">
        <x:f>IF(A60="","",IF(AND(COUNT(D60:E60)=2,E60&gt;=D60),(E60-D60)*'01 Setup'!$B$22*'01 Setup'!$B$21,""))</x:f>
      </x:c>
      <x:c r="H60" s="83" t="str">
        <x:f>IF(A60="","",IF(COUNT(D60:E60)&lt;2,"Complete timestamps",IF(E60&lt;D60,"Finish before start",IF(F60="","Classify activity","Review evidence"))))</x:f>
      </x:c>
      <x:c r="I60" s="46"/>
      <x:c r="J60" s="3"/>
      <x:c r="K60" s="3"/>
      <x:c r="L60" s="3"/>
      <x:c r="M60" s="3"/>
      <x:c r="N60" s="3"/>
      <x:c r="O60" s="3"/>
      <x:c r="P60" s="3"/>
      <x:c r="Q60" s="3"/>
      <x:c r="R60" s="3"/>
    </x:row>
    <x:row r="61" ht="34" customHeight="1">
      <x:c r="A61" s="46"/>
      <x:c r="B61" s="46"/>
      <x:c r="C61" s="46"/>
      <x:c r="D61" s="80"/>
      <x:c r="E61" s="80"/>
      <x:c r="F61" s="46"/>
      <x:c r="G61" s="86" t="str">
        <x:f>IF(A61="","",IF(AND(COUNT(D61:E61)=2,E61&gt;=D61),(E61-D61)*'01 Setup'!$B$22*'01 Setup'!$B$21,""))</x:f>
      </x:c>
      <x:c r="H61" s="83" t="str">
        <x:f>IF(A61="","",IF(COUNT(D61:E61)&lt;2,"Complete timestamps",IF(E61&lt;D61,"Finish before start",IF(F61="","Classify activity","Review evidence"))))</x:f>
      </x:c>
      <x:c r="I61" s="46"/>
      <x:c r="J61" s="3"/>
      <x:c r="K61" s="3"/>
      <x:c r="L61" s="3"/>
      <x:c r="M61" s="3"/>
      <x:c r="N61" s="3"/>
      <x:c r="O61" s="3"/>
      <x:c r="P61" s="3"/>
      <x:c r="Q61" s="3"/>
      <x:c r="R61" s="3"/>
    </x:row>
    <x:row r="62" ht="34" customHeight="1">
      <x:c r="A62" s="46"/>
      <x:c r="B62" s="46"/>
      <x:c r="C62" s="46"/>
      <x:c r="D62" s="80"/>
      <x:c r="E62" s="80"/>
      <x:c r="F62" s="46"/>
      <x:c r="G62" s="86" t="str">
        <x:f>IF(A62="","",IF(AND(COUNT(D62:E62)=2,E62&gt;=D62),(E62-D62)*'01 Setup'!$B$22*'01 Setup'!$B$21,""))</x:f>
      </x:c>
      <x:c r="H62" s="83" t="str">
        <x:f>IF(A62="","",IF(COUNT(D62:E62)&lt;2,"Complete timestamps",IF(E62&lt;D62,"Finish before start",IF(F62="","Classify activity","Review evidence"))))</x:f>
      </x:c>
      <x:c r="I62" s="46"/>
      <x:c r="J62" s="3"/>
      <x:c r="K62" s="3"/>
      <x:c r="L62" s="3"/>
      <x:c r="M62" s="3"/>
      <x:c r="N62" s="3"/>
      <x:c r="O62" s="3"/>
      <x:c r="P62" s="3"/>
      <x:c r="Q62" s="3"/>
      <x:c r="R62" s="3"/>
    </x:row>
    <x:row r="63" ht="34" customHeight="1">
      <x:c r="A63" s="46"/>
      <x:c r="B63" s="46"/>
      <x:c r="C63" s="46"/>
      <x:c r="D63" s="80"/>
      <x:c r="E63" s="80"/>
      <x:c r="F63" s="46"/>
      <x:c r="G63" s="86" t="str">
        <x:f>IF(A63="","",IF(AND(COUNT(D63:E63)=2,E63&gt;=D63),(E63-D63)*'01 Setup'!$B$22*'01 Setup'!$B$21,""))</x:f>
      </x:c>
      <x:c r="H63" s="83" t="str">
        <x:f>IF(A63="","",IF(COUNT(D63:E63)&lt;2,"Complete timestamps",IF(E63&lt;D63,"Finish before start",IF(F63="","Classify activity","Review evidence"))))</x:f>
      </x:c>
      <x:c r="I63" s="46"/>
      <x:c r="J63" s="3"/>
      <x:c r="K63" s="3"/>
      <x:c r="L63" s="3"/>
      <x:c r="M63" s="3"/>
      <x:c r="N63" s="3"/>
      <x:c r="O63" s="3"/>
      <x:c r="P63" s="3"/>
      <x:c r="Q63" s="3"/>
      <x:c r="R63" s="3"/>
    </x:row>
    <x:row r="64" ht="34" customHeight="1">
      <x:c r="A64" s="46"/>
      <x:c r="B64" s="46"/>
      <x:c r="C64" s="46"/>
      <x:c r="D64" s="80"/>
      <x:c r="E64" s="80"/>
      <x:c r="F64" s="46"/>
      <x:c r="G64" s="86" t="str">
        <x:f>IF(A64="","",IF(AND(COUNT(D64:E64)=2,E64&gt;=D64),(E64-D64)*'01 Setup'!$B$22*'01 Setup'!$B$21,""))</x:f>
      </x:c>
      <x:c r="H64" s="83" t="str">
        <x:f>IF(A64="","",IF(COUNT(D64:E64)&lt;2,"Complete timestamps",IF(E64&lt;D64,"Finish before start",IF(F64="","Classify activity","Review evidence"))))</x:f>
      </x:c>
      <x:c r="I64" s="46"/>
      <x:c r="J64" s="3"/>
      <x:c r="K64" s="3"/>
      <x:c r="L64" s="3"/>
      <x:c r="M64" s="3"/>
      <x:c r="N64" s="3"/>
      <x:c r="O64" s="3"/>
      <x:c r="P64" s="3"/>
      <x:c r="Q64" s="3"/>
      <x:c r="R64" s="3"/>
    </x:row>
    <x:row r="65" ht="34" customHeight="1">
      <x:c r="A65" s="46"/>
      <x:c r="B65" s="46"/>
      <x:c r="C65" s="46"/>
      <x:c r="D65" s="80"/>
      <x:c r="E65" s="80"/>
      <x:c r="F65" s="46"/>
      <x:c r="G65" s="86" t="str">
        <x:f>IF(A65="","",IF(AND(COUNT(D65:E65)=2,E65&gt;=D65),(E65-D65)*'01 Setup'!$B$22*'01 Setup'!$B$21,""))</x:f>
      </x:c>
      <x:c r="H65" s="83" t="str">
        <x:f>IF(A65="","",IF(COUNT(D65:E65)&lt;2,"Complete timestamps",IF(E65&lt;D65,"Finish before start",IF(F65="","Classify activity","Review evidence"))))</x:f>
      </x:c>
      <x:c r="I65" s="46"/>
      <x:c r="J65" s="3"/>
      <x:c r="K65" s="3"/>
      <x:c r="L65" s="3"/>
      <x:c r="M65" s="3"/>
      <x:c r="N65" s="3"/>
      <x:c r="O65" s="3"/>
      <x:c r="P65" s="3"/>
      <x:c r="Q65" s="3"/>
      <x:c r="R65" s="3"/>
    </x:row>
    <x:row r="66" ht="34" customHeight="1">
      <x:c r="A66" s="46"/>
      <x:c r="B66" s="46"/>
      <x:c r="C66" s="46"/>
      <x:c r="D66" s="80"/>
      <x:c r="E66" s="80"/>
      <x:c r="F66" s="46"/>
      <x:c r="G66" s="86" t="str">
        <x:f>IF(A66="","",IF(AND(COUNT(D66:E66)=2,E66&gt;=D66),(E66-D66)*'01 Setup'!$B$22*'01 Setup'!$B$21,""))</x:f>
      </x:c>
      <x:c r="H66" s="83" t="str">
        <x:f>IF(A66="","",IF(COUNT(D66:E66)&lt;2,"Complete timestamps",IF(E66&lt;D66,"Finish before start",IF(F66="","Classify activity","Review evidence"))))</x:f>
      </x:c>
      <x:c r="I66" s="46"/>
      <x:c r="J66" s="3"/>
      <x:c r="K66" s="3"/>
      <x:c r="L66" s="3"/>
      <x:c r="M66" s="3"/>
      <x:c r="N66" s="3"/>
      <x:c r="O66" s="3"/>
      <x:c r="P66" s="3"/>
      <x:c r="Q66" s="3"/>
      <x:c r="R66" s="3"/>
    </x:row>
    <x:row r="67" ht="34" customHeight="1">
      <x:c r="A67" s="46"/>
      <x:c r="B67" s="46"/>
      <x:c r="C67" s="46"/>
      <x:c r="D67" s="80"/>
      <x:c r="E67" s="80"/>
      <x:c r="F67" s="46"/>
      <x:c r="G67" s="86" t="str">
        <x:f>IF(A67="","",IF(AND(COUNT(D67:E67)=2,E67&gt;=D67),(E67-D67)*'01 Setup'!$B$22*'01 Setup'!$B$21,""))</x:f>
      </x:c>
      <x:c r="H67" s="83" t="str">
        <x:f>IF(A67="","",IF(COUNT(D67:E67)&lt;2,"Complete timestamps",IF(E67&lt;D67,"Finish before start",IF(F67="","Classify activity","Review evidence"))))</x:f>
      </x:c>
      <x:c r="I67" s="46"/>
      <x:c r="J67" s="3"/>
      <x:c r="K67" s="3"/>
      <x:c r="L67" s="3"/>
      <x:c r="M67" s="3"/>
      <x:c r="N67" s="3"/>
      <x:c r="O67" s="3"/>
      <x:c r="P67" s="3"/>
      <x:c r="Q67" s="3"/>
      <x:c r="R67" s="3"/>
    </x:row>
    <x:row r="68" ht="34" customHeight="1">
      <x:c r="A68" s="46"/>
      <x:c r="B68" s="46"/>
      <x:c r="C68" s="46"/>
      <x:c r="D68" s="80"/>
      <x:c r="E68" s="80"/>
      <x:c r="F68" s="46"/>
      <x:c r="G68" s="86" t="str">
        <x:f>IF(A68="","",IF(AND(COUNT(D68:E68)=2,E68&gt;=D68),(E68-D68)*'01 Setup'!$B$22*'01 Setup'!$B$21,""))</x:f>
      </x:c>
      <x:c r="H68" s="83" t="str">
        <x:f>IF(A68="","",IF(COUNT(D68:E68)&lt;2,"Complete timestamps",IF(E68&lt;D68,"Finish before start",IF(F68="","Classify activity","Review evidence"))))</x:f>
      </x:c>
      <x:c r="I68" s="46"/>
      <x:c r="J68" s="3"/>
      <x:c r="K68" s="3"/>
      <x:c r="L68" s="3"/>
      <x:c r="M68" s="3"/>
      <x:c r="N68" s="3"/>
      <x:c r="O68" s="3"/>
      <x:c r="P68" s="3"/>
      <x:c r="Q68" s="3"/>
      <x:c r="R68" s="3"/>
    </x:row>
    <x:row r="69" ht="34" customHeight="1">
      <x:c r="A69" s="46"/>
      <x:c r="B69" s="46"/>
      <x:c r="C69" s="46"/>
      <x:c r="D69" s="80"/>
      <x:c r="E69" s="80"/>
      <x:c r="F69" s="46"/>
      <x:c r="G69" s="86" t="str">
        <x:f>IF(A69="","",IF(AND(COUNT(D69:E69)=2,E69&gt;=D69),(E69-D69)*'01 Setup'!$B$22*'01 Setup'!$B$21,""))</x:f>
      </x:c>
      <x:c r="H69" s="83" t="str">
        <x:f>IF(A69="","",IF(COUNT(D69:E69)&lt;2,"Complete timestamps",IF(E69&lt;D69,"Finish before start",IF(F69="","Classify activity","Review evidence"))))</x:f>
      </x:c>
      <x:c r="I69" s="46"/>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D03</x:v>
      </x:c>
      <x:c r="B110" s="34"/>
      <x:c r="C110" s="34"/>
      <x:c r="D110" s="34"/>
      <x:c r="E110" s="34"/>
      <x:c r="F110" s="34"/>
      <x:c r="G110" s="34"/>
      <x:c r="H110" s="34"/>
      <x:c r="I110" s="34"/>
      <x:c r="J110" s="34"/>
      <x:c r="K110" s="34"/>
      <x:c r="L110" s="34"/>
      <x:c r="M110" s="3"/>
      <x:c r="N110" s="3"/>
      <x:c r="O110" s="3"/>
      <x:c r="P110" s="3"/>
      <x:c r="Q110" s="3"/>
      <x:c r="R110" s="3"/>
    </x:row>
    <x:row r="111" ht="20" customHeight="1">
      <x:c r="A111" s="40" t="str">
        <x:v>01  Observation scope</x:v>
      </x:c>
      <x:c r="B111" s="40"/>
      <x:c r="C111" s="40"/>
      <x:c r="D111" s="17" t="str">
        <x:v>State process family, case and time boundary.</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Activity sequence</x:v>
      </x:c>
      <x:c r="B117" s="40"/>
      <x:c r="C117" s="40"/>
      <x:c r="D117" s="17" t="str">
        <x:v>Record steps and handovers in actual order.</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Time classification</x:v>
      </x:c>
      <x:c r="B123" s="40"/>
      <x:c r="C123" s="40"/>
      <x:c r="D123" s="17" t="str">
        <x:v>Separate touch, wait, rework and necessary control.</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Context and interruptions</x:v>
      </x:c>
      <x:c r="B129" s="40"/>
      <x:c r="C129" s="40"/>
      <x:c r="D129" s="17" t="str">
        <x:v>Record conditions affecting interpretation.</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Participant explanation</x:v>
      </x:c>
      <x:c r="B135" s="40"/>
      <x:c r="C135" s="40"/>
      <x:c r="D135" s="17" t="str">
        <x:v>Capture the worker's account without treating it as proof.</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Validation and next observation</x:v>
      </x:c>
      <x:c r="B141" s="40"/>
      <x:c r="C141" s="40"/>
      <x:c r="D141" s="17" t="str">
        <x:v>Confirm sequence and identify evidence gaps.</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Observation can change behaviour and may miss invisible work. Do not use the fastest observed time as a personal target. Keep necessary checks visible, record parallel activity correctly and avoid adding overlapping durations as if they were sequential.</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M03, M05, M06  |  METHOD SOURCES: U02, U03, R19</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s>
  <x:dataValidations count="1">
    <x:dataValidation type="list" sqref="F10:F69">
      <x:formula1>"Value adding,Necessary enabling,Avoidable,Unclassified"</x:formula1>
    </x:dataValidation>
  </x:dataValidations>
  <x:pageMargins left="0.7" right="0.7" top="0.75" bottom="0.75" header="0.3" footer="0.3"/>
</x:worksheet>
</file>

<file path=xl/worksheets/sheet24.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5" hidden="0" customWidth="1"/>
    <x:col min="2" max="2" width="16" hidden="0" customWidth="1"/>
    <x:col min="3" max="3" width="22" hidden="0" customWidth="1"/>
    <x:col min="4" max="4" width="22" hidden="0" customWidth="1"/>
    <x:col min="5" max="5" width="17" hidden="0" customWidth="1"/>
    <x:col min="6" max="6" width="18" hidden="0" customWidth="1"/>
    <x:col min="7" max="7" width="13" hidden="0" customWidth="1"/>
    <x:col min="8" max="8" width="14" hidden="0" customWidth="1"/>
    <x:col min="9" max="9" width="15" hidden="0" customWidth="1"/>
    <x:col min="10" max="10" width="14" hidden="0" customWidth="1"/>
    <x:col min="11" max="11" width="29" hidden="0" customWidth="1"/>
    <x:col min="12" max="12" width="15" hidden="0" customWidth="1"/>
    <x:col min="13" max="13" width="15" hidden="0" customWidth="1"/>
    <x:col min="14" max="14" width="17" hidden="0" customWidth="1"/>
    <x:col min="15" max="15" width="11" hidden="0" customWidth="1"/>
    <x:col min="16" max="16" width="11" hidden="0" customWidth="1"/>
    <x:col min="17" max="17" width="11" hidden="0" customWidth="1"/>
    <x:col min="18" max="18" width="11" hidden="0" customWidth="1"/>
  </x:cols>
  <x:sheetData>
    <x:row r="1" ht="26" customHeight="1">
      <x:c r="A1" s="9" t="str">
        <x:v>D04  Operational data-capture log</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Collect time-ordered process evidence with explicit denominators and missing-data rules.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Case ID</x:v>
      </x:c>
      <x:c r="B9" s="77" t="str">
        <x:v>Phase / cycle</x:v>
      </x:c>
      <x:c r="C9" s="77" t="str">
        <x:v>First receipt</x:v>
      </x:c>
      <x:c r="D9" s="77" t="str">
        <x:v>Secure delivery</x:v>
      </x:c>
      <x:c r="E9" s="77" t="str">
        <x:v>Right first time</x:v>
      </x:c>
      <x:c r="F9" s="77" t="str">
        <x:v>Route</x:v>
      </x:c>
      <x:c r="G9" s="77" t="str">
        <x:v>Eligible?</x:v>
      </x:c>
      <x:c r="H9" s="77" t="str">
        <x:v>Stop event?</x:v>
      </x:c>
      <x:c r="I9" s="77" t="str">
        <x:v>Elapsed hours</x:v>
      </x:c>
      <x:c r="J9" s="77" t="str">
        <x:v>Within aim?</x:v>
      </x:c>
      <x:c r="K9" s="77" t="str">
        <x:v>Data check</x:v>
      </x:c>
      <x:c r="L9" s="77" t="str">
        <x:v>Selected hours</x:v>
      </x:c>
      <x:c r="M9" s="77" t="str">
        <x:v>Selected valid</x:v>
      </x:c>
      <x:c r="N9" s="77" t="str">
        <x:v>Open age hours</x:v>
      </x:c>
      <x:c r="O9" s="3"/>
      <x:c r="P9" s="3"/>
      <x:c r="Q9" s="3"/>
      <x:c r="R9" s="3"/>
    </x:row>
    <x:row r="10" ht="34" customHeight="1">
      <x:c r="A10" s="46"/>
      <x:c r="B10" s="46"/>
      <x:c r="C10" s="80"/>
      <x:c r="D10" s="80"/>
      <x:c r="E10" s="46"/>
      <x:c r="F10" s="46"/>
      <x:c r="G10" s="46"/>
      <x:c r="H10" s="46"/>
      <x:c r="I10" s="86" t="str">
        <x:f>IF(A10="","",IF(AND(COUNT(C10:D10)=2,D10&gt;=C10),(D10-C10)*'01 Setup'!$B$22,""))</x:f>
      </x:c>
      <x:c r="J10" s="83" t="str">
        <x:f>IF(AND(ISNUMBER(I10),ISNUMBER('01 Setup'!$B$11),'01 Setup'!$B$11&gt;0),IF(I10&lt;='01 Setup'!$B$11,"Yes","No"),"")</x:f>
      </x:c>
      <x:c r="K10" s="83" t="str">
        <x:f>IF(A10="",IF(COUNTA(B10:H10)&gt;0,"Missing case ID",""),IF(COUNTIF($A$10:$A$99,A10)&gt;1,"Duplicate ID",IF(OR(B10="",G10="",H10=""),"Complete phase/eligibility/stop",IF(OR(NOT(OR(G10="Yes",G10="No")),NOT(OR(H10="Yes",H10="No"))),"Invalid eligibility/stop",IF(NOT(ISNUMBER(C10)),"Missing receipt",IF(D10="","Open",IF(NOT(ISNUMBER(D10)),"Invalid delivery",IF(D10&lt;C10,"Delivery before receipt",IF(OR(E10="",F10=""),"Complete quality/route",IF(OR(NOT(OR(E10="Yes",E10="No")),NOT(OR(F10="Standard",F10="Assisted",F10="Other"))),"Invalid quality/route","Valid"))))))))))</x:f>
      </x:c>
      <x:c r="L10" s="86" t="str">
        <x:f>IF(AND('01 Setup'!$B$10&lt;&gt;"",B10='01 Setup'!$B$10,G10="Yes",K10="Valid"),I10,"")</x:f>
      </x:c>
      <x:c r="M10" s="86" t="str">
        <x:f>IF(A10="","",IF(AND('01 Setup'!$B$10&lt;&gt;"",B10='01 Setup'!$B$10,G10="Yes",K10="Valid"),1,0))</x:f>
      </x:c>
      <x:c r="N10" s="86" t="str">
        <x:f>IF(AND(A10&lt;&gt;"",D10="",ISNUMBER(C10),ISNUMBER('01 Setup'!$B$31),'01 Setup'!$B$31&gt;=C10),('01 Setup'!$B$31-C10)*'01 Setup'!$B$22,"")</x:f>
      </x:c>
      <x:c r="O10" s="3"/>
      <x:c r="P10" s="3"/>
      <x:c r="Q10" s="3"/>
      <x:c r="R10" s="3"/>
    </x:row>
    <x:row r="11" ht="34" customHeight="1">
      <x:c r="A11" s="46"/>
      <x:c r="B11" s="46"/>
      <x:c r="C11" s="80"/>
      <x:c r="D11" s="80"/>
      <x:c r="E11" s="46"/>
      <x:c r="F11" s="46"/>
      <x:c r="G11" s="46"/>
      <x:c r="H11" s="46"/>
      <x:c r="I11" s="86" t="str">
        <x:f>IF(A11="","",IF(AND(COUNT(C11:D11)=2,D11&gt;=C11),(D11-C11)*'01 Setup'!$B$22,""))</x:f>
      </x:c>
      <x:c r="J11" s="83" t="str">
        <x:f>IF(AND(ISNUMBER(I11),ISNUMBER('01 Setup'!$B$11),'01 Setup'!$B$11&gt;0),IF(I11&lt;='01 Setup'!$B$11,"Yes","No"),"")</x:f>
      </x:c>
      <x:c r="K11" s="83" t="str">
        <x:f>IF(A11="",IF(COUNTA(B11:H11)&gt;0,"Missing case ID",""),IF(COUNTIF($A$10:$A$99,A11)&gt;1,"Duplicate ID",IF(OR(B11="",G11="",H11=""),"Complete phase/eligibility/stop",IF(OR(NOT(OR(G11="Yes",G11="No")),NOT(OR(H11="Yes",H11="No"))),"Invalid eligibility/stop",IF(NOT(ISNUMBER(C11)),"Missing receipt",IF(D11="","Open",IF(NOT(ISNUMBER(D11)),"Invalid delivery",IF(D11&lt;C11,"Delivery before receipt",IF(OR(E11="",F11=""),"Complete quality/route",IF(OR(NOT(OR(E11="Yes",E11="No")),NOT(OR(F11="Standard",F11="Assisted",F11="Other"))),"Invalid quality/route","Valid"))))))))))</x:f>
      </x:c>
      <x:c r="L11" s="86" t="str">
        <x:f>IF(AND('01 Setup'!$B$10&lt;&gt;"",B11='01 Setup'!$B$10,G11="Yes",K11="Valid"),I11,"")</x:f>
      </x:c>
      <x:c r="M11" s="86" t="str">
        <x:f>IF(A11="","",IF(AND('01 Setup'!$B$10&lt;&gt;"",B11='01 Setup'!$B$10,G11="Yes",K11="Valid"),1,0))</x:f>
      </x:c>
      <x:c r="N11" s="86" t="str">
        <x:f>IF(AND(A11&lt;&gt;"",D11="",ISNUMBER(C11),ISNUMBER('01 Setup'!$B$31),'01 Setup'!$B$31&gt;=C11),('01 Setup'!$B$31-C11)*'01 Setup'!$B$22,"")</x:f>
      </x:c>
      <x:c r="O11" s="3"/>
      <x:c r="P11" s="3"/>
      <x:c r="Q11" s="3"/>
      <x:c r="R11" s="3"/>
    </x:row>
    <x:row r="12" ht="34" customHeight="1">
      <x:c r="A12" s="46"/>
      <x:c r="B12" s="46"/>
      <x:c r="C12" s="80"/>
      <x:c r="D12" s="80"/>
      <x:c r="E12" s="46"/>
      <x:c r="F12" s="46"/>
      <x:c r="G12" s="46"/>
      <x:c r="H12" s="46"/>
      <x:c r="I12" s="86" t="str">
        <x:f>IF(A12="","",IF(AND(COUNT(C12:D12)=2,D12&gt;=C12),(D12-C12)*'01 Setup'!$B$22,""))</x:f>
      </x:c>
      <x:c r="J12" s="83" t="str">
        <x:f>IF(AND(ISNUMBER(I12),ISNUMBER('01 Setup'!$B$11),'01 Setup'!$B$11&gt;0),IF(I12&lt;='01 Setup'!$B$11,"Yes","No"),"")</x:f>
      </x:c>
      <x:c r="K12" s="83" t="str">
        <x:f>IF(A12="",IF(COUNTA(B12:H12)&gt;0,"Missing case ID",""),IF(COUNTIF($A$10:$A$99,A12)&gt;1,"Duplicate ID",IF(OR(B12="",G12="",H12=""),"Complete phase/eligibility/stop",IF(OR(NOT(OR(G12="Yes",G12="No")),NOT(OR(H12="Yes",H12="No"))),"Invalid eligibility/stop",IF(NOT(ISNUMBER(C12)),"Missing receipt",IF(D12="","Open",IF(NOT(ISNUMBER(D12)),"Invalid delivery",IF(D12&lt;C12,"Delivery before receipt",IF(OR(E12="",F12=""),"Complete quality/route",IF(OR(NOT(OR(E12="Yes",E12="No")),NOT(OR(F12="Standard",F12="Assisted",F12="Other"))),"Invalid quality/route","Valid"))))))))))</x:f>
      </x:c>
      <x:c r="L12" s="86" t="str">
        <x:f>IF(AND('01 Setup'!$B$10&lt;&gt;"",B12='01 Setup'!$B$10,G12="Yes",K12="Valid"),I12,"")</x:f>
      </x:c>
      <x:c r="M12" s="86" t="str">
        <x:f>IF(A12="","",IF(AND('01 Setup'!$B$10&lt;&gt;"",B12='01 Setup'!$B$10,G12="Yes",K12="Valid"),1,0))</x:f>
      </x:c>
      <x:c r="N12" s="86" t="str">
        <x:f>IF(AND(A12&lt;&gt;"",D12="",ISNUMBER(C12),ISNUMBER('01 Setup'!$B$31),'01 Setup'!$B$31&gt;=C12),('01 Setup'!$B$31-C12)*'01 Setup'!$B$22,"")</x:f>
      </x:c>
      <x:c r="O12" s="3"/>
      <x:c r="P12" s="3"/>
      <x:c r="Q12" s="3"/>
      <x:c r="R12" s="3"/>
    </x:row>
    <x:row r="13" ht="34" customHeight="1">
      <x:c r="A13" s="46"/>
      <x:c r="B13" s="46"/>
      <x:c r="C13" s="80"/>
      <x:c r="D13" s="80"/>
      <x:c r="E13" s="46"/>
      <x:c r="F13" s="46"/>
      <x:c r="G13" s="46"/>
      <x:c r="H13" s="46"/>
      <x:c r="I13" s="86" t="str">
        <x:f>IF(A13="","",IF(AND(COUNT(C13:D13)=2,D13&gt;=C13),(D13-C13)*'01 Setup'!$B$22,""))</x:f>
      </x:c>
      <x:c r="J13" s="83" t="str">
        <x:f>IF(AND(ISNUMBER(I13),ISNUMBER('01 Setup'!$B$11),'01 Setup'!$B$11&gt;0),IF(I13&lt;='01 Setup'!$B$11,"Yes","No"),"")</x:f>
      </x:c>
      <x:c r="K13" s="83" t="str">
        <x:f>IF(A13="",IF(COUNTA(B13:H13)&gt;0,"Missing case ID",""),IF(COUNTIF($A$10:$A$99,A13)&gt;1,"Duplicate ID",IF(OR(B13="",G13="",H13=""),"Complete phase/eligibility/stop",IF(OR(NOT(OR(G13="Yes",G13="No")),NOT(OR(H13="Yes",H13="No"))),"Invalid eligibility/stop",IF(NOT(ISNUMBER(C13)),"Missing receipt",IF(D13="","Open",IF(NOT(ISNUMBER(D13)),"Invalid delivery",IF(D13&lt;C13,"Delivery before receipt",IF(OR(E13="",F13=""),"Complete quality/route",IF(OR(NOT(OR(E13="Yes",E13="No")),NOT(OR(F13="Standard",F13="Assisted",F13="Other"))),"Invalid quality/route","Valid"))))))))))</x:f>
      </x:c>
      <x:c r="L13" s="86" t="str">
        <x:f>IF(AND('01 Setup'!$B$10&lt;&gt;"",B13='01 Setup'!$B$10,G13="Yes",K13="Valid"),I13,"")</x:f>
      </x:c>
      <x:c r="M13" s="86" t="str">
        <x:f>IF(A13="","",IF(AND('01 Setup'!$B$10&lt;&gt;"",B13='01 Setup'!$B$10,G13="Yes",K13="Valid"),1,0))</x:f>
      </x:c>
      <x:c r="N13" s="86" t="str">
        <x:f>IF(AND(A13&lt;&gt;"",D13="",ISNUMBER(C13),ISNUMBER('01 Setup'!$B$31),'01 Setup'!$B$31&gt;=C13),('01 Setup'!$B$31-C13)*'01 Setup'!$B$22,"")</x:f>
      </x:c>
      <x:c r="O13" s="3"/>
      <x:c r="P13" s="3"/>
      <x:c r="Q13" s="3"/>
      <x:c r="R13" s="3"/>
    </x:row>
    <x:row r="14" ht="34" customHeight="1">
      <x:c r="A14" s="46"/>
      <x:c r="B14" s="46"/>
      <x:c r="C14" s="80"/>
      <x:c r="D14" s="80"/>
      <x:c r="E14" s="46"/>
      <x:c r="F14" s="46"/>
      <x:c r="G14" s="46"/>
      <x:c r="H14" s="46"/>
      <x:c r="I14" s="86" t="str">
        <x:f>IF(A14="","",IF(AND(COUNT(C14:D14)=2,D14&gt;=C14),(D14-C14)*'01 Setup'!$B$22,""))</x:f>
      </x:c>
      <x:c r="J14" s="83" t="str">
        <x:f>IF(AND(ISNUMBER(I14),ISNUMBER('01 Setup'!$B$11),'01 Setup'!$B$11&gt;0),IF(I14&lt;='01 Setup'!$B$11,"Yes","No"),"")</x:f>
      </x:c>
      <x:c r="K14" s="83" t="str">
        <x:f>IF(A14="",IF(COUNTA(B14:H14)&gt;0,"Missing case ID",""),IF(COUNTIF($A$10:$A$99,A14)&gt;1,"Duplicate ID",IF(OR(B14="",G14="",H14=""),"Complete phase/eligibility/stop",IF(OR(NOT(OR(G14="Yes",G14="No")),NOT(OR(H14="Yes",H14="No"))),"Invalid eligibility/stop",IF(NOT(ISNUMBER(C14)),"Missing receipt",IF(D14="","Open",IF(NOT(ISNUMBER(D14)),"Invalid delivery",IF(D14&lt;C14,"Delivery before receipt",IF(OR(E14="",F14=""),"Complete quality/route",IF(OR(NOT(OR(E14="Yes",E14="No")),NOT(OR(F14="Standard",F14="Assisted",F14="Other"))),"Invalid quality/route","Valid"))))))))))</x:f>
      </x:c>
      <x:c r="L14" s="86" t="str">
        <x:f>IF(AND('01 Setup'!$B$10&lt;&gt;"",B14='01 Setup'!$B$10,G14="Yes",K14="Valid"),I14,"")</x:f>
      </x:c>
      <x:c r="M14" s="86" t="str">
        <x:f>IF(A14="","",IF(AND('01 Setup'!$B$10&lt;&gt;"",B14='01 Setup'!$B$10,G14="Yes",K14="Valid"),1,0))</x:f>
      </x:c>
      <x:c r="N14" s="86" t="str">
        <x:f>IF(AND(A14&lt;&gt;"",D14="",ISNUMBER(C14),ISNUMBER('01 Setup'!$B$31),'01 Setup'!$B$31&gt;=C14),('01 Setup'!$B$31-C14)*'01 Setup'!$B$22,"")</x:f>
      </x:c>
      <x:c r="O14" s="3"/>
      <x:c r="P14" s="3"/>
      <x:c r="Q14" s="3"/>
      <x:c r="R14" s="3"/>
    </x:row>
    <x:row r="15" ht="34" customHeight="1">
      <x:c r="A15" s="46"/>
      <x:c r="B15" s="46"/>
      <x:c r="C15" s="80"/>
      <x:c r="D15" s="80"/>
      <x:c r="E15" s="46"/>
      <x:c r="F15" s="46"/>
      <x:c r="G15" s="46"/>
      <x:c r="H15" s="46"/>
      <x:c r="I15" s="86" t="str">
        <x:f>IF(A15="","",IF(AND(COUNT(C15:D15)=2,D15&gt;=C15),(D15-C15)*'01 Setup'!$B$22,""))</x:f>
      </x:c>
      <x:c r="J15" s="83" t="str">
        <x:f>IF(AND(ISNUMBER(I15),ISNUMBER('01 Setup'!$B$11),'01 Setup'!$B$11&gt;0),IF(I15&lt;='01 Setup'!$B$11,"Yes","No"),"")</x:f>
      </x:c>
      <x:c r="K15" s="83" t="str">
        <x:f>IF(A15="",IF(COUNTA(B15:H15)&gt;0,"Missing case ID",""),IF(COUNTIF($A$10:$A$99,A15)&gt;1,"Duplicate ID",IF(OR(B15="",G15="",H15=""),"Complete phase/eligibility/stop",IF(OR(NOT(OR(G15="Yes",G15="No")),NOT(OR(H15="Yes",H15="No"))),"Invalid eligibility/stop",IF(NOT(ISNUMBER(C15)),"Missing receipt",IF(D15="","Open",IF(NOT(ISNUMBER(D15)),"Invalid delivery",IF(D15&lt;C15,"Delivery before receipt",IF(OR(E15="",F15=""),"Complete quality/route",IF(OR(NOT(OR(E15="Yes",E15="No")),NOT(OR(F15="Standard",F15="Assisted",F15="Other"))),"Invalid quality/route","Valid"))))))))))</x:f>
      </x:c>
      <x:c r="L15" s="86" t="str">
        <x:f>IF(AND('01 Setup'!$B$10&lt;&gt;"",B15='01 Setup'!$B$10,G15="Yes",K15="Valid"),I15,"")</x:f>
      </x:c>
      <x:c r="M15" s="86" t="str">
        <x:f>IF(A15="","",IF(AND('01 Setup'!$B$10&lt;&gt;"",B15='01 Setup'!$B$10,G15="Yes",K15="Valid"),1,0))</x:f>
      </x:c>
      <x:c r="N15" s="86" t="str">
        <x:f>IF(AND(A15&lt;&gt;"",D15="",ISNUMBER(C15),ISNUMBER('01 Setup'!$B$31),'01 Setup'!$B$31&gt;=C15),('01 Setup'!$B$31-C15)*'01 Setup'!$B$22,"")</x:f>
      </x:c>
      <x:c r="O15" s="3"/>
      <x:c r="P15" s="3"/>
      <x:c r="Q15" s="3"/>
      <x:c r="R15" s="3"/>
    </x:row>
    <x:row r="16" ht="34" customHeight="1">
      <x:c r="A16" s="46"/>
      <x:c r="B16" s="46"/>
      <x:c r="C16" s="80"/>
      <x:c r="D16" s="80"/>
      <x:c r="E16" s="46"/>
      <x:c r="F16" s="46"/>
      <x:c r="G16" s="46"/>
      <x:c r="H16" s="46"/>
      <x:c r="I16" s="86" t="str">
        <x:f>IF(A16="","",IF(AND(COUNT(C16:D16)=2,D16&gt;=C16),(D16-C16)*'01 Setup'!$B$22,""))</x:f>
      </x:c>
      <x:c r="J16" s="83" t="str">
        <x:f>IF(AND(ISNUMBER(I16),ISNUMBER('01 Setup'!$B$11),'01 Setup'!$B$11&gt;0),IF(I16&lt;='01 Setup'!$B$11,"Yes","No"),"")</x:f>
      </x:c>
      <x:c r="K16" s="83" t="str">
        <x:f>IF(A16="",IF(COUNTA(B16:H16)&gt;0,"Missing case ID",""),IF(COUNTIF($A$10:$A$99,A16)&gt;1,"Duplicate ID",IF(OR(B16="",G16="",H16=""),"Complete phase/eligibility/stop",IF(OR(NOT(OR(G16="Yes",G16="No")),NOT(OR(H16="Yes",H16="No"))),"Invalid eligibility/stop",IF(NOT(ISNUMBER(C16)),"Missing receipt",IF(D16="","Open",IF(NOT(ISNUMBER(D16)),"Invalid delivery",IF(D16&lt;C16,"Delivery before receipt",IF(OR(E16="",F16=""),"Complete quality/route",IF(OR(NOT(OR(E16="Yes",E16="No")),NOT(OR(F16="Standard",F16="Assisted",F16="Other"))),"Invalid quality/route","Valid"))))))))))</x:f>
      </x:c>
      <x:c r="L16" s="86" t="str">
        <x:f>IF(AND('01 Setup'!$B$10&lt;&gt;"",B16='01 Setup'!$B$10,G16="Yes",K16="Valid"),I16,"")</x:f>
      </x:c>
      <x:c r="M16" s="86" t="str">
        <x:f>IF(A16="","",IF(AND('01 Setup'!$B$10&lt;&gt;"",B16='01 Setup'!$B$10,G16="Yes",K16="Valid"),1,0))</x:f>
      </x:c>
      <x:c r="N16" s="86" t="str">
        <x:f>IF(AND(A16&lt;&gt;"",D16="",ISNUMBER(C16),ISNUMBER('01 Setup'!$B$31),'01 Setup'!$B$31&gt;=C16),('01 Setup'!$B$31-C16)*'01 Setup'!$B$22,"")</x:f>
      </x:c>
      <x:c r="O16" s="3"/>
      <x:c r="P16" s="3"/>
      <x:c r="Q16" s="3"/>
      <x:c r="R16" s="3"/>
    </x:row>
    <x:row r="17" ht="34" customHeight="1">
      <x:c r="A17" s="46"/>
      <x:c r="B17" s="46"/>
      <x:c r="C17" s="80"/>
      <x:c r="D17" s="80"/>
      <x:c r="E17" s="46"/>
      <x:c r="F17" s="46"/>
      <x:c r="G17" s="46"/>
      <x:c r="H17" s="46"/>
      <x:c r="I17" s="86" t="str">
        <x:f>IF(A17="","",IF(AND(COUNT(C17:D17)=2,D17&gt;=C17),(D17-C17)*'01 Setup'!$B$22,""))</x:f>
      </x:c>
      <x:c r="J17" s="83" t="str">
        <x:f>IF(AND(ISNUMBER(I17),ISNUMBER('01 Setup'!$B$11),'01 Setup'!$B$11&gt;0),IF(I17&lt;='01 Setup'!$B$11,"Yes","No"),"")</x:f>
      </x:c>
      <x:c r="K17" s="83" t="str">
        <x:f>IF(A17="",IF(COUNTA(B17:H17)&gt;0,"Missing case ID",""),IF(COUNTIF($A$10:$A$99,A17)&gt;1,"Duplicate ID",IF(OR(B17="",G17="",H17=""),"Complete phase/eligibility/stop",IF(OR(NOT(OR(G17="Yes",G17="No")),NOT(OR(H17="Yes",H17="No"))),"Invalid eligibility/stop",IF(NOT(ISNUMBER(C17)),"Missing receipt",IF(D17="","Open",IF(NOT(ISNUMBER(D17)),"Invalid delivery",IF(D17&lt;C17,"Delivery before receipt",IF(OR(E17="",F17=""),"Complete quality/route",IF(OR(NOT(OR(E17="Yes",E17="No")),NOT(OR(F17="Standard",F17="Assisted",F17="Other"))),"Invalid quality/route","Valid"))))))))))</x:f>
      </x:c>
      <x:c r="L17" s="86" t="str">
        <x:f>IF(AND('01 Setup'!$B$10&lt;&gt;"",B17='01 Setup'!$B$10,G17="Yes",K17="Valid"),I17,"")</x:f>
      </x:c>
      <x:c r="M17" s="86" t="str">
        <x:f>IF(A17="","",IF(AND('01 Setup'!$B$10&lt;&gt;"",B17='01 Setup'!$B$10,G17="Yes",K17="Valid"),1,0))</x:f>
      </x:c>
      <x:c r="N17" s="86" t="str">
        <x:f>IF(AND(A17&lt;&gt;"",D17="",ISNUMBER(C17),ISNUMBER('01 Setup'!$B$31),'01 Setup'!$B$31&gt;=C17),('01 Setup'!$B$31-C17)*'01 Setup'!$B$22,"")</x:f>
      </x:c>
      <x:c r="O17" s="3"/>
      <x:c r="P17" s="3"/>
      <x:c r="Q17" s="3"/>
      <x:c r="R17" s="3"/>
    </x:row>
    <x:row r="18" ht="34" customHeight="1">
      <x:c r="A18" s="46"/>
      <x:c r="B18" s="46"/>
      <x:c r="C18" s="80"/>
      <x:c r="D18" s="80"/>
      <x:c r="E18" s="46"/>
      <x:c r="F18" s="46"/>
      <x:c r="G18" s="46"/>
      <x:c r="H18" s="46"/>
      <x:c r="I18" s="86" t="str">
        <x:f>IF(A18="","",IF(AND(COUNT(C18:D18)=2,D18&gt;=C18),(D18-C18)*'01 Setup'!$B$22,""))</x:f>
      </x:c>
      <x:c r="J18" s="83" t="str">
        <x:f>IF(AND(ISNUMBER(I18),ISNUMBER('01 Setup'!$B$11),'01 Setup'!$B$11&gt;0),IF(I18&lt;='01 Setup'!$B$11,"Yes","No"),"")</x:f>
      </x:c>
      <x:c r="K18" s="83" t="str">
        <x:f>IF(A18="",IF(COUNTA(B18:H18)&gt;0,"Missing case ID",""),IF(COUNTIF($A$10:$A$99,A18)&gt;1,"Duplicate ID",IF(OR(B18="",G18="",H18=""),"Complete phase/eligibility/stop",IF(OR(NOT(OR(G18="Yes",G18="No")),NOT(OR(H18="Yes",H18="No"))),"Invalid eligibility/stop",IF(NOT(ISNUMBER(C18)),"Missing receipt",IF(D18="","Open",IF(NOT(ISNUMBER(D18)),"Invalid delivery",IF(D18&lt;C18,"Delivery before receipt",IF(OR(E18="",F18=""),"Complete quality/route",IF(OR(NOT(OR(E18="Yes",E18="No")),NOT(OR(F18="Standard",F18="Assisted",F18="Other"))),"Invalid quality/route","Valid"))))))))))</x:f>
      </x:c>
      <x:c r="L18" s="86" t="str">
        <x:f>IF(AND('01 Setup'!$B$10&lt;&gt;"",B18='01 Setup'!$B$10,G18="Yes",K18="Valid"),I18,"")</x:f>
      </x:c>
      <x:c r="M18" s="86" t="str">
        <x:f>IF(A18="","",IF(AND('01 Setup'!$B$10&lt;&gt;"",B18='01 Setup'!$B$10,G18="Yes",K18="Valid"),1,0))</x:f>
      </x:c>
      <x:c r="N18" s="86" t="str">
        <x:f>IF(AND(A18&lt;&gt;"",D18="",ISNUMBER(C18),ISNUMBER('01 Setup'!$B$31),'01 Setup'!$B$31&gt;=C18),('01 Setup'!$B$31-C18)*'01 Setup'!$B$22,"")</x:f>
      </x:c>
      <x:c r="O18" s="3"/>
      <x:c r="P18" s="3"/>
      <x:c r="Q18" s="3"/>
      <x:c r="R18" s="3"/>
    </x:row>
    <x:row r="19" ht="34" customHeight="1">
      <x:c r="A19" s="46"/>
      <x:c r="B19" s="46"/>
      <x:c r="C19" s="80"/>
      <x:c r="D19" s="80"/>
      <x:c r="E19" s="46"/>
      <x:c r="F19" s="46"/>
      <x:c r="G19" s="46"/>
      <x:c r="H19" s="46"/>
      <x:c r="I19" s="86" t="str">
        <x:f>IF(A19="","",IF(AND(COUNT(C19:D19)=2,D19&gt;=C19),(D19-C19)*'01 Setup'!$B$22,""))</x:f>
      </x:c>
      <x:c r="J19" s="83" t="str">
        <x:f>IF(AND(ISNUMBER(I19),ISNUMBER('01 Setup'!$B$11),'01 Setup'!$B$11&gt;0),IF(I19&lt;='01 Setup'!$B$11,"Yes","No"),"")</x:f>
      </x:c>
      <x:c r="K19" s="83" t="str">
        <x:f>IF(A19="",IF(COUNTA(B19:H19)&gt;0,"Missing case ID",""),IF(COUNTIF($A$10:$A$99,A19)&gt;1,"Duplicate ID",IF(OR(B19="",G19="",H19=""),"Complete phase/eligibility/stop",IF(OR(NOT(OR(G19="Yes",G19="No")),NOT(OR(H19="Yes",H19="No"))),"Invalid eligibility/stop",IF(NOT(ISNUMBER(C19)),"Missing receipt",IF(D19="","Open",IF(NOT(ISNUMBER(D19)),"Invalid delivery",IF(D19&lt;C19,"Delivery before receipt",IF(OR(E19="",F19=""),"Complete quality/route",IF(OR(NOT(OR(E19="Yes",E19="No")),NOT(OR(F19="Standard",F19="Assisted",F19="Other"))),"Invalid quality/route","Valid"))))))))))</x:f>
      </x:c>
      <x:c r="L19" s="86" t="str">
        <x:f>IF(AND('01 Setup'!$B$10&lt;&gt;"",B19='01 Setup'!$B$10,G19="Yes",K19="Valid"),I19,"")</x:f>
      </x:c>
      <x:c r="M19" s="86" t="str">
        <x:f>IF(A19="","",IF(AND('01 Setup'!$B$10&lt;&gt;"",B19='01 Setup'!$B$10,G19="Yes",K19="Valid"),1,0))</x:f>
      </x:c>
      <x:c r="N19" s="86" t="str">
        <x:f>IF(AND(A19&lt;&gt;"",D19="",ISNUMBER(C19),ISNUMBER('01 Setup'!$B$31),'01 Setup'!$B$31&gt;=C19),('01 Setup'!$B$31-C19)*'01 Setup'!$B$22,"")</x:f>
      </x:c>
      <x:c r="O19" s="3"/>
      <x:c r="P19" s="3"/>
      <x:c r="Q19" s="3"/>
      <x:c r="R19" s="3"/>
    </x:row>
    <x:row r="20" ht="34" customHeight="1">
      <x:c r="A20" s="46"/>
      <x:c r="B20" s="46"/>
      <x:c r="C20" s="80"/>
      <x:c r="D20" s="80"/>
      <x:c r="E20" s="46"/>
      <x:c r="F20" s="46"/>
      <x:c r="G20" s="46"/>
      <x:c r="H20" s="46"/>
      <x:c r="I20" s="86" t="str">
        <x:f>IF(A20="","",IF(AND(COUNT(C20:D20)=2,D20&gt;=C20),(D20-C20)*'01 Setup'!$B$22,""))</x:f>
      </x:c>
      <x:c r="J20" s="83" t="str">
        <x:f>IF(AND(ISNUMBER(I20),ISNUMBER('01 Setup'!$B$11),'01 Setup'!$B$11&gt;0),IF(I20&lt;='01 Setup'!$B$11,"Yes","No"),"")</x:f>
      </x:c>
      <x:c r="K20" s="83" t="str">
        <x:f>IF(A20="",IF(COUNTA(B20:H20)&gt;0,"Missing case ID",""),IF(COUNTIF($A$10:$A$99,A20)&gt;1,"Duplicate ID",IF(OR(B20="",G20="",H20=""),"Complete phase/eligibility/stop",IF(OR(NOT(OR(G20="Yes",G20="No")),NOT(OR(H20="Yes",H20="No"))),"Invalid eligibility/stop",IF(NOT(ISNUMBER(C20)),"Missing receipt",IF(D20="","Open",IF(NOT(ISNUMBER(D20)),"Invalid delivery",IF(D20&lt;C20,"Delivery before receipt",IF(OR(E20="",F20=""),"Complete quality/route",IF(OR(NOT(OR(E20="Yes",E20="No")),NOT(OR(F20="Standard",F20="Assisted",F20="Other"))),"Invalid quality/route","Valid"))))))))))</x:f>
      </x:c>
      <x:c r="L20" s="86" t="str">
        <x:f>IF(AND('01 Setup'!$B$10&lt;&gt;"",B20='01 Setup'!$B$10,G20="Yes",K20="Valid"),I20,"")</x:f>
      </x:c>
      <x:c r="M20" s="86" t="str">
        <x:f>IF(A20="","",IF(AND('01 Setup'!$B$10&lt;&gt;"",B20='01 Setup'!$B$10,G20="Yes",K20="Valid"),1,0))</x:f>
      </x:c>
      <x:c r="N20" s="86" t="str">
        <x:f>IF(AND(A20&lt;&gt;"",D20="",ISNUMBER(C20),ISNUMBER('01 Setup'!$B$31),'01 Setup'!$B$31&gt;=C20),('01 Setup'!$B$31-C20)*'01 Setup'!$B$22,"")</x:f>
      </x:c>
      <x:c r="O20" s="3"/>
      <x:c r="P20" s="3"/>
      <x:c r="Q20" s="3"/>
      <x:c r="R20" s="3"/>
    </x:row>
    <x:row r="21" ht="34" customHeight="1">
      <x:c r="A21" s="46"/>
      <x:c r="B21" s="46"/>
      <x:c r="C21" s="80"/>
      <x:c r="D21" s="80"/>
      <x:c r="E21" s="46"/>
      <x:c r="F21" s="46"/>
      <x:c r="G21" s="46"/>
      <x:c r="H21" s="46"/>
      <x:c r="I21" s="86" t="str">
        <x:f>IF(A21="","",IF(AND(COUNT(C21:D21)=2,D21&gt;=C21),(D21-C21)*'01 Setup'!$B$22,""))</x:f>
      </x:c>
      <x:c r="J21" s="83" t="str">
        <x:f>IF(AND(ISNUMBER(I21),ISNUMBER('01 Setup'!$B$11),'01 Setup'!$B$11&gt;0),IF(I21&lt;='01 Setup'!$B$11,"Yes","No"),"")</x:f>
      </x:c>
      <x:c r="K21" s="83" t="str">
        <x:f>IF(A21="",IF(COUNTA(B21:H21)&gt;0,"Missing case ID",""),IF(COUNTIF($A$10:$A$99,A21)&gt;1,"Duplicate ID",IF(OR(B21="",G21="",H21=""),"Complete phase/eligibility/stop",IF(OR(NOT(OR(G21="Yes",G21="No")),NOT(OR(H21="Yes",H21="No"))),"Invalid eligibility/stop",IF(NOT(ISNUMBER(C21)),"Missing receipt",IF(D21="","Open",IF(NOT(ISNUMBER(D21)),"Invalid delivery",IF(D21&lt;C21,"Delivery before receipt",IF(OR(E21="",F21=""),"Complete quality/route",IF(OR(NOT(OR(E21="Yes",E21="No")),NOT(OR(F21="Standard",F21="Assisted",F21="Other"))),"Invalid quality/route","Valid"))))))))))</x:f>
      </x:c>
      <x:c r="L21" s="86" t="str">
        <x:f>IF(AND('01 Setup'!$B$10&lt;&gt;"",B21='01 Setup'!$B$10,G21="Yes",K21="Valid"),I21,"")</x:f>
      </x:c>
      <x:c r="M21" s="86" t="str">
        <x:f>IF(A21="","",IF(AND('01 Setup'!$B$10&lt;&gt;"",B21='01 Setup'!$B$10,G21="Yes",K21="Valid"),1,0))</x:f>
      </x:c>
      <x:c r="N21" s="86" t="str">
        <x:f>IF(AND(A21&lt;&gt;"",D21="",ISNUMBER(C21),ISNUMBER('01 Setup'!$B$31),'01 Setup'!$B$31&gt;=C21),('01 Setup'!$B$31-C21)*'01 Setup'!$B$22,"")</x:f>
      </x:c>
      <x:c r="O21" s="3"/>
      <x:c r="P21" s="3"/>
      <x:c r="Q21" s="3"/>
      <x:c r="R21" s="3"/>
    </x:row>
    <x:row r="22" ht="34" customHeight="1">
      <x:c r="A22" s="46"/>
      <x:c r="B22" s="46"/>
      <x:c r="C22" s="80"/>
      <x:c r="D22" s="80"/>
      <x:c r="E22" s="46"/>
      <x:c r="F22" s="46"/>
      <x:c r="G22" s="46"/>
      <x:c r="H22" s="46"/>
      <x:c r="I22" s="86" t="str">
        <x:f>IF(A22="","",IF(AND(COUNT(C22:D22)=2,D22&gt;=C22),(D22-C22)*'01 Setup'!$B$22,""))</x:f>
      </x:c>
      <x:c r="J22" s="83" t="str">
        <x:f>IF(AND(ISNUMBER(I22),ISNUMBER('01 Setup'!$B$11),'01 Setup'!$B$11&gt;0),IF(I22&lt;='01 Setup'!$B$11,"Yes","No"),"")</x:f>
      </x:c>
      <x:c r="K22" s="83" t="str">
        <x:f>IF(A22="",IF(COUNTA(B22:H22)&gt;0,"Missing case ID",""),IF(COUNTIF($A$10:$A$99,A22)&gt;1,"Duplicate ID",IF(OR(B22="",G22="",H22=""),"Complete phase/eligibility/stop",IF(OR(NOT(OR(G22="Yes",G22="No")),NOT(OR(H22="Yes",H22="No"))),"Invalid eligibility/stop",IF(NOT(ISNUMBER(C22)),"Missing receipt",IF(D22="","Open",IF(NOT(ISNUMBER(D22)),"Invalid delivery",IF(D22&lt;C22,"Delivery before receipt",IF(OR(E22="",F22=""),"Complete quality/route",IF(OR(NOT(OR(E22="Yes",E22="No")),NOT(OR(F22="Standard",F22="Assisted",F22="Other"))),"Invalid quality/route","Valid"))))))))))</x:f>
      </x:c>
      <x:c r="L22" s="86" t="str">
        <x:f>IF(AND('01 Setup'!$B$10&lt;&gt;"",B22='01 Setup'!$B$10,G22="Yes",K22="Valid"),I22,"")</x:f>
      </x:c>
      <x:c r="M22" s="86" t="str">
        <x:f>IF(A22="","",IF(AND('01 Setup'!$B$10&lt;&gt;"",B22='01 Setup'!$B$10,G22="Yes",K22="Valid"),1,0))</x:f>
      </x:c>
      <x:c r="N22" s="86" t="str">
        <x:f>IF(AND(A22&lt;&gt;"",D22="",ISNUMBER(C22),ISNUMBER('01 Setup'!$B$31),'01 Setup'!$B$31&gt;=C22),('01 Setup'!$B$31-C22)*'01 Setup'!$B$22,"")</x:f>
      </x:c>
      <x:c r="O22" s="3"/>
      <x:c r="P22" s="3"/>
      <x:c r="Q22" s="3"/>
      <x:c r="R22" s="3"/>
    </x:row>
    <x:row r="23" ht="34" customHeight="1">
      <x:c r="A23" s="46"/>
      <x:c r="B23" s="46"/>
      <x:c r="C23" s="80"/>
      <x:c r="D23" s="80"/>
      <x:c r="E23" s="46"/>
      <x:c r="F23" s="46"/>
      <x:c r="G23" s="46"/>
      <x:c r="H23" s="46"/>
      <x:c r="I23" s="86" t="str">
        <x:f>IF(A23="","",IF(AND(COUNT(C23:D23)=2,D23&gt;=C23),(D23-C23)*'01 Setup'!$B$22,""))</x:f>
      </x:c>
      <x:c r="J23" s="83" t="str">
        <x:f>IF(AND(ISNUMBER(I23),ISNUMBER('01 Setup'!$B$11),'01 Setup'!$B$11&gt;0),IF(I23&lt;='01 Setup'!$B$11,"Yes","No"),"")</x:f>
      </x:c>
      <x:c r="K23" s="83" t="str">
        <x:f>IF(A23="",IF(COUNTA(B23:H23)&gt;0,"Missing case ID",""),IF(COUNTIF($A$10:$A$99,A23)&gt;1,"Duplicate ID",IF(OR(B23="",G23="",H23=""),"Complete phase/eligibility/stop",IF(OR(NOT(OR(G23="Yes",G23="No")),NOT(OR(H23="Yes",H23="No"))),"Invalid eligibility/stop",IF(NOT(ISNUMBER(C23)),"Missing receipt",IF(D23="","Open",IF(NOT(ISNUMBER(D23)),"Invalid delivery",IF(D23&lt;C23,"Delivery before receipt",IF(OR(E23="",F23=""),"Complete quality/route",IF(OR(NOT(OR(E23="Yes",E23="No")),NOT(OR(F23="Standard",F23="Assisted",F23="Other"))),"Invalid quality/route","Valid"))))))))))</x:f>
      </x:c>
      <x:c r="L23" s="86" t="str">
        <x:f>IF(AND('01 Setup'!$B$10&lt;&gt;"",B23='01 Setup'!$B$10,G23="Yes",K23="Valid"),I23,"")</x:f>
      </x:c>
      <x:c r="M23" s="86" t="str">
        <x:f>IF(A23="","",IF(AND('01 Setup'!$B$10&lt;&gt;"",B23='01 Setup'!$B$10,G23="Yes",K23="Valid"),1,0))</x:f>
      </x:c>
      <x:c r="N23" s="86" t="str">
        <x:f>IF(AND(A23&lt;&gt;"",D23="",ISNUMBER(C23),ISNUMBER('01 Setup'!$B$31),'01 Setup'!$B$31&gt;=C23),('01 Setup'!$B$31-C23)*'01 Setup'!$B$22,"")</x:f>
      </x:c>
      <x:c r="O23" s="3"/>
      <x:c r="P23" s="3"/>
      <x:c r="Q23" s="3"/>
      <x:c r="R23" s="3"/>
    </x:row>
    <x:row r="24" ht="34" customHeight="1">
      <x:c r="A24" s="46"/>
      <x:c r="B24" s="46"/>
      <x:c r="C24" s="80"/>
      <x:c r="D24" s="80"/>
      <x:c r="E24" s="46"/>
      <x:c r="F24" s="46"/>
      <x:c r="G24" s="46"/>
      <x:c r="H24" s="46"/>
      <x:c r="I24" s="86" t="str">
        <x:f>IF(A24="","",IF(AND(COUNT(C24:D24)=2,D24&gt;=C24),(D24-C24)*'01 Setup'!$B$22,""))</x:f>
      </x:c>
      <x:c r="J24" s="83" t="str">
        <x:f>IF(AND(ISNUMBER(I24),ISNUMBER('01 Setup'!$B$11),'01 Setup'!$B$11&gt;0),IF(I24&lt;='01 Setup'!$B$11,"Yes","No"),"")</x:f>
      </x:c>
      <x:c r="K24" s="83" t="str">
        <x:f>IF(A24="",IF(COUNTA(B24:H24)&gt;0,"Missing case ID",""),IF(COUNTIF($A$10:$A$99,A24)&gt;1,"Duplicate ID",IF(OR(B24="",G24="",H24=""),"Complete phase/eligibility/stop",IF(OR(NOT(OR(G24="Yes",G24="No")),NOT(OR(H24="Yes",H24="No"))),"Invalid eligibility/stop",IF(NOT(ISNUMBER(C24)),"Missing receipt",IF(D24="","Open",IF(NOT(ISNUMBER(D24)),"Invalid delivery",IF(D24&lt;C24,"Delivery before receipt",IF(OR(E24="",F24=""),"Complete quality/route",IF(OR(NOT(OR(E24="Yes",E24="No")),NOT(OR(F24="Standard",F24="Assisted",F24="Other"))),"Invalid quality/route","Valid"))))))))))</x:f>
      </x:c>
      <x:c r="L24" s="86" t="str">
        <x:f>IF(AND('01 Setup'!$B$10&lt;&gt;"",B24='01 Setup'!$B$10,G24="Yes",K24="Valid"),I24,"")</x:f>
      </x:c>
      <x:c r="M24" s="86" t="str">
        <x:f>IF(A24="","",IF(AND('01 Setup'!$B$10&lt;&gt;"",B24='01 Setup'!$B$10,G24="Yes",K24="Valid"),1,0))</x:f>
      </x:c>
      <x:c r="N24" s="86" t="str">
        <x:f>IF(AND(A24&lt;&gt;"",D24="",ISNUMBER(C24),ISNUMBER('01 Setup'!$B$31),'01 Setup'!$B$31&gt;=C24),('01 Setup'!$B$31-C24)*'01 Setup'!$B$22,"")</x:f>
      </x:c>
      <x:c r="O24" s="3"/>
      <x:c r="P24" s="3"/>
      <x:c r="Q24" s="3"/>
      <x:c r="R24" s="3"/>
    </x:row>
    <x:row r="25" ht="34" customHeight="1">
      <x:c r="A25" s="46"/>
      <x:c r="B25" s="46"/>
      <x:c r="C25" s="80"/>
      <x:c r="D25" s="80"/>
      <x:c r="E25" s="46"/>
      <x:c r="F25" s="46"/>
      <x:c r="G25" s="46"/>
      <x:c r="H25" s="46"/>
      <x:c r="I25" s="86" t="str">
        <x:f>IF(A25="","",IF(AND(COUNT(C25:D25)=2,D25&gt;=C25),(D25-C25)*'01 Setup'!$B$22,""))</x:f>
      </x:c>
      <x:c r="J25" s="83" t="str">
        <x:f>IF(AND(ISNUMBER(I25),ISNUMBER('01 Setup'!$B$11),'01 Setup'!$B$11&gt;0),IF(I25&lt;='01 Setup'!$B$11,"Yes","No"),"")</x:f>
      </x:c>
      <x:c r="K25" s="83" t="str">
        <x:f>IF(A25="",IF(COUNTA(B25:H25)&gt;0,"Missing case ID",""),IF(COUNTIF($A$10:$A$99,A25)&gt;1,"Duplicate ID",IF(OR(B25="",G25="",H25=""),"Complete phase/eligibility/stop",IF(OR(NOT(OR(G25="Yes",G25="No")),NOT(OR(H25="Yes",H25="No"))),"Invalid eligibility/stop",IF(NOT(ISNUMBER(C25)),"Missing receipt",IF(D25="","Open",IF(NOT(ISNUMBER(D25)),"Invalid delivery",IF(D25&lt;C25,"Delivery before receipt",IF(OR(E25="",F25=""),"Complete quality/route",IF(OR(NOT(OR(E25="Yes",E25="No")),NOT(OR(F25="Standard",F25="Assisted",F25="Other"))),"Invalid quality/route","Valid"))))))))))</x:f>
      </x:c>
      <x:c r="L25" s="86" t="str">
        <x:f>IF(AND('01 Setup'!$B$10&lt;&gt;"",B25='01 Setup'!$B$10,G25="Yes",K25="Valid"),I25,"")</x:f>
      </x:c>
      <x:c r="M25" s="86" t="str">
        <x:f>IF(A25="","",IF(AND('01 Setup'!$B$10&lt;&gt;"",B25='01 Setup'!$B$10,G25="Yes",K25="Valid"),1,0))</x:f>
      </x:c>
      <x:c r="N25" s="86" t="str">
        <x:f>IF(AND(A25&lt;&gt;"",D25="",ISNUMBER(C25),ISNUMBER('01 Setup'!$B$31),'01 Setup'!$B$31&gt;=C25),('01 Setup'!$B$31-C25)*'01 Setup'!$B$22,"")</x:f>
      </x:c>
      <x:c r="O25" s="3"/>
      <x:c r="P25" s="3"/>
      <x:c r="Q25" s="3"/>
      <x:c r="R25" s="3"/>
    </x:row>
    <x:row r="26" ht="34" customHeight="1">
      <x:c r="A26" s="46"/>
      <x:c r="B26" s="46"/>
      <x:c r="C26" s="80"/>
      <x:c r="D26" s="80"/>
      <x:c r="E26" s="46"/>
      <x:c r="F26" s="46"/>
      <x:c r="G26" s="46"/>
      <x:c r="H26" s="46"/>
      <x:c r="I26" s="86" t="str">
        <x:f>IF(A26="","",IF(AND(COUNT(C26:D26)=2,D26&gt;=C26),(D26-C26)*'01 Setup'!$B$22,""))</x:f>
      </x:c>
      <x:c r="J26" s="83" t="str">
        <x:f>IF(AND(ISNUMBER(I26),ISNUMBER('01 Setup'!$B$11),'01 Setup'!$B$11&gt;0),IF(I26&lt;='01 Setup'!$B$11,"Yes","No"),"")</x:f>
      </x:c>
      <x:c r="K26" s="83" t="str">
        <x:f>IF(A26="",IF(COUNTA(B26:H26)&gt;0,"Missing case ID",""),IF(COUNTIF($A$10:$A$99,A26)&gt;1,"Duplicate ID",IF(OR(B26="",G26="",H26=""),"Complete phase/eligibility/stop",IF(OR(NOT(OR(G26="Yes",G26="No")),NOT(OR(H26="Yes",H26="No"))),"Invalid eligibility/stop",IF(NOT(ISNUMBER(C26)),"Missing receipt",IF(D26="","Open",IF(NOT(ISNUMBER(D26)),"Invalid delivery",IF(D26&lt;C26,"Delivery before receipt",IF(OR(E26="",F26=""),"Complete quality/route",IF(OR(NOT(OR(E26="Yes",E26="No")),NOT(OR(F26="Standard",F26="Assisted",F26="Other"))),"Invalid quality/route","Valid"))))))))))</x:f>
      </x:c>
      <x:c r="L26" s="86" t="str">
        <x:f>IF(AND('01 Setup'!$B$10&lt;&gt;"",B26='01 Setup'!$B$10,G26="Yes",K26="Valid"),I26,"")</x:f>
      </x:c>
      <x:c r="M26" s="86" t="str">
        <x:f>IF(A26="","",IF(AND('01 Setup'!$B$10&lt;&gt;"",B26='01 Setup'!$B$10,G26="Yes",K26="Valid"),1,0))</x:f>
      </x:c>
      <x:c r="N26" s="86" t="str">
        <x:f>IF(AND(A26&lt;&gt;"",D26="",ISNUMBER(C26),ISNUMBER('01 Setup'!$B$31),'01 Setup'!$B$31&gt;=C26),('01 Setup'!$B$31-C26)*'01 Setup'!$B$22,"")</x:f>
      </x:c>
      <x:c r="O26" s="3"/>
      <x:c r="P26" s="3"/>
      <x:c r="Q26" s="3"/>
      <x:c r="R26" s="3"/>
    </x:row>
    <x:row r="27" ht="34" customHeight="1">
      <x:c r="A27" s="46"/>
      <x:c r="B27" s="46"/>
      <x:c r="C27" s="80"/>
      <x:c r="D27" s="80"/>
      <x:c r="E27" s="46"/>
      <x:c r="F27" s="46"/>
      <x:c r="G27" s="46"/>
      <x:c r="H27" s="46"/>
      <x:c r="I27" s="86" t="str">
        <x:f>IF(A27="","",IF(AND(COUNT(C27:D27)=2,D27&gt;=C27),(D27-C27)*'01 Setup'!$B$22,""))</x:f>
      </x:c>
      <x:c r="J27" s="83" t="str">
        <x:f>IF(AND(ISNUMBER(I27),ISNUMBER('01 Setup'!$B$11),'01 Setup'!$B$11&gt;0),IF(I27&lt;='01 Setup'!$B$11,"Yes","No"),"")</x:f>
      </x:c>
      <x:c r="K27" s="83" t="str">
        <x:f>IF(A27="",IF(COUNTA(B27:H27)&gt;0,"Missing case ID",""),IF(COUNTIF($A$10:$A$99,A27)&gt;1,"Duplicate ID",IF(OR(B27="",G27="",H27=""),"Complete phase/eligibility/stop",IF(OR(NOT(OR(G27="Yes",G27="No")),NOT(OR(H27="Yes",H27="No"))),"Invalid eligibility/stop",IF(NOT(ISNUMBER(C27)),"Missing receipt",IF(D27="","Open",IF(NOT(ISNUMBER(D27)),"Invalid delivery",IF(D27&lt;C27,"Delivery before receipt",IF(OR(E27="",F27=""),"Complete quality/route",IF(OR(NOT(OR(E27="Yes",E27="No")),NOT(OR(F27="Standard",F27="Assisted",F27="Other"))),"Invalid quality/route","Valid"))))))))))</x:f>
      </x:c>
      <x:c r="L27" s="86" t="str">
        <x:f>IF(AND('01 Setup'!$B$10&lt;&gt;"",B27='01 Setup'!$B$10,G27="Yes",K27="Valid"),I27,"")</x:f>
      </x:c>
      <x:c r="M27" s="86" t="str">
        <x:f>IF(A27="","",IF(AND('01 Setup'!$B$10&lt;&gt;"",B27='01 Setup'!$B$10,G27="Yes",K27="Valid"),1,0))</x:f>
      </x:c>
      <x:c r="N27" s="86" t="str">
        <x:f>IF(AND(A27&lt;&gt;"",D27="",ISNUMBER(C27),ISNUMBER('01 Setup'!$B$31),'01 Setup'!$B$31&gt;=C27),('01 Setup'!$B$31-C27)*'01 Setup'!$B$22,"")</x:f>
      </x:c>
      <x:c r="O27" s="3"/>
      <x:c r="P27" s="3"/>
      <x:c r="Q27" s="3"/>
      <x:c r="R27" s="3"/>
    </x:row>
    <x:row r="28" ht="34" customHeight="1">
      <x:c r="A28" s="46"/>
      <x:c r="B28" s="46"/>
      <x:c r="C28" s="80"/>
      <x:c r="D28" s="80"/>
      <x:c r="E28" s="46"/>
      <x:c r="F28" s="46"/>
      <x:c r="G28" s="46"/>
      <x:c r="H28" s="46"/>
      <x:c r="I28" s="86" t="str">
        <x:f>IF(A28="","",IF(AND(COUNT(C28:D28)=2,D28&gt;=C28),(D28-C28)*'01 Setup'!$B$22,""))</x:f>
      </x:c>
      <x:c r="J28" s="83" t="str">
        <x:f>IF(AND(ISNUMBER(I28),ISNUMBER('01 Setup'!$B$11),'01 Setup'!$B$11&gt;0),IF(I28&lt;='01 Setup'!$B$11,"Yes","No"),"")</x:f>
      </x:c>
      <x:c r="K28" s="83" t="str">
        <x:f>IF(A28="",IF(COUNTA(B28:H28)&gt;0,"Missing case ID",""),IF(COUNTIF($A$10:$A$99,A28)&gt;1,"Duplicate ID",IF(OR(B28="",G28="",H28=""),"Complete phase/eligibility/stop",IF(OR(NOT(OR(G28="Yes",G28="No")),NOT(OR(H28="Yes",H28="No"))),"Invalid eligibility/stop",IF(NOT(ISNUMBER(C28)),"Missing receipt",IF(D28="","Open",IF(NOT(ISNUMBER(D28)),"Invalid delivery",IF(D28&lt;C28,"Delivery before receipt",IF(OR(E28="",F28=""),"Complete quality/route",IF(OR(NOT(OR(E28="Yes",E28="No")),NOT(OR(F28="Standard",F28="Assisted",F28="Other"))),"Invalid quality/route","Valid"))))))))))</x:f>
      </x:c>
      <x:c r="L28" s="86" t="str">
        <x:f>IF(AND('01 Setup'!$B$10&lt;&gt;"",B28='01 Setup'!$B$10,G28="Yes",K28="Valid"),I28,"")</x:f>
      </x:c>
      <x:c r="M28" s="86" t="str">
        <x:f>IF(A28="","",IF(AND('01 Setup'!$B$10&lt;&gt;"",B28='01 Setup'!$B$10,G28="Yes",K28="Valid"),1,0))</x:f>
      </x:c>
      <x:c r="N28" s="86" t="str">
        <x:f>IF(AND(A28&lt;&gt;"",D28="",ISNUMBER(C28),ISNUMBER('01 Setup'!$B$31),'01 Setup'!$B$31&gt;=C28),('01 Setup'!$B$31-C28)*'01 Setup'!$B$22,"")</x:f>
      </x:c>
      <x:c r="O28" s="3"/>
      <x:c r="P28" s="3"/>
      <x:c r="Q28" s="3"/>
      <x:c r="R28" s="3"/>
    </x:row>
    <x:row r="29" ht="34" customHeight="1">
      <x:c r="A29" s="46"/>
      <x:c r="B29" s="46"/>
      <x:c r="C29" s="80"/>
      <x:c r="D29" s="80"/>
      <x:c r="E29" s="46"/>
      <x:c r="F29" s="46"/>
      <x:c r="G29" s="46"/>
      <x:c r="H29" s="46"/>
      <x:c r="I29" s="86" t="str">
        <x:f>IF(A29="","",IF(AND(COUNT(C29:D29)=2,D29&gt;=C29),(D29-C29)*'01 Setup'!$B$22,""))</x:f>
      </x:c>
      <x:c r="J29" s="83" t="str">
        <x:f>IF(AND(ISNUMBER(I29),ISNUMBER('01 Setup'!$B$11),'01 Setup'!$B$11&gt;0),IF(I29&lt;='01 Setup'!$B$11,"Yes","No"),"")</x:f>
      </x:c>
      <x:c r="K29" s="83" t="str">
        <x:f>IF(A29="",IF(COUNTA(B29:H29)&gt;0,"Missing case ID",""),IF(COUNTIF($A$10:$A$99,A29)&gt;1,"Duplicate ID",IF(OR(B29="",G29="",H29=""),"Complete phase/eligibility/stop",IF(OR(NOT(OR(G29="Yes",G29="No")),NOT(OR(H29="Yes",H29="No"))),"Invalid eligibility/stop",IF(NOT(ISNUMBER(C29)),"Missing receipt",IF(D29="","Open",IF(NOT(ISNUMBER(D29)),"Invalid delivery",IF(D29&lt;C29,"Delivery before receipt",IF(OR(E29="",F29=""),"Complete quality/route",IF(OR(NOT(OR(E29="Yes",E29="No")),NOT(OR(F29="Standard",F29="Assisted",F29="Other"))),"Invalid quality/route","Valid"))))))))))</x:f>
      </x:c>
      <x:c r="L29" s="86" t="str">
        <x:f>IF(AND('01 Setup'!$B$10&lt;&gt;"",B29='01 Setup'!$B$10,G29="Yes",K29="Valid"),I29,"")</x:f>
      </x:c>
      <x:c r="M29" s="86" t="str">
        <x:f>IF(A29="","",IF(AND('01 Setup'!$B$10&lt;&gt;"",B29='01 Setup'!$B$10,G29="Yes",K29="Valid"),1,0))</x:f>
      </x:c>
      <x:c r="N29" s="86" t="str">
        <x:f>IF(AND(A29&lt;&gt;"",D29="",ISNUMBER(C29),ISNUMBER('01 Setup'!$B$31),'01 Setup'!$B$31&gt;=C29),('01 Setup'!$B$31-C29)*'01 Setup'!$B$22,"")</x:f>
      </x:c>
      <x:c r="O29" s="3"/>
      <x:c r="P29" s="3"/>
      <x:c r="Q29" s="3"/>
      <x:c r="R29" s="3"/>
    </x:row>
    <x:row r="30" ht="34" customHeight="1">
      <x:c r="A30" s="46"/>
      <x:c r="B30" s="46"/>
      <x:c r="C30" s="80"/>
      <x:c r="D30" s="80"/>
      <x:c r="E30" s="46"/>
      <x:c r="F30" s="46"/>
      <x:c r="G30" s="46"/>
      <x:c r="H30" s="46"/>
      <x:c r="I30" s="86" t="str">
        <x:f>IF(A30="","",IF(AND(COUNT(C30:D30)=2,D30&gt;=C30),(D30-C30)*'01 Setup'!$B$22,""))</x:f>
      </x:c>
      <x:c r="J30" s="83" t="str">
        <x:f>IF(AND(ISNUMBER(I30),ISNUMBER('01 Setup'!$B$11),'01 Setup'!$B$11&gt;0),IF(I30&lt;='01 Setup'!$B$11,"Yes","No"),"")</x:f>
      </x:c>
      <x:c r="K30" s="83" t="str">
        <x:f>IF(A30="",IF(COUNTA(B30:H30)&gt;0,"Missing case ID",""),IF(COUNTIF($A$10:$A$99,A30)&gt;1,"Duplicate ID",IF(OR(B30="",G30="",H30=""),"Complete phase/eligibility/stop",IF(OR(NOT(OR(G30="Yes",G30="No")),NOT(OR(H30="Yes",H30="No"))),"Invalid eligibility/stop",IF(NOT(ISNUMBER(C30)),"Missing receipt",IF(D30="","Open",IF(NOT(ISNUMBER(D30)),"Invalid delivery",IF(D30&lt;C30,"Delivery before receipt",IF(OR(E30="",F30=""),"Complete quality/route",IF(OR(NOT(OR(E30="Yes",E30="No")),NOT(OR(F30="Standard",F30="Assisted",F30="Other"))),"Invalid quality/route","Valid"))))))))))</x:f>
      </x:c>
      <x:c r="L30" s="86" t="str">
        <x:f>IF(AND('01 Setup'!$B$10&lt;&gt;"",B30='01 Setup'!$B$10,G30="Yes",K30="Valid"),I30,"")</x:f>
      </x:c>
      <x:c r="M30" s="86" t="str">
        <x:f>IF(A30="","",IF(AND('01 Setup'!$B$10&lt;&gt;"",B30='01 Setup'!$B$10,G30="Yes",K30="Valid"),1,0))</x:f>
      </x:c>
      <x:c r="N30" s="86" t="str">
        <x:f>IF(AND(A30&lt;&gt;"",D30="",ISNUMBER(C30),ISNUMBER('01 Setup'!$B$31),'01 Setup'!$B$31&gt;=C30),('01 Setup'!$B$31-C30)*'01 Setup'!$B$22,"")</x:f>
      </x:c>
      <x:c r="O30" s="3"/>
      <x:c r="P30" s="3"/>
      <x:c r="Q30" s="3"/>
      <x:c r="R30" s="3"/>
    </x:row>
    <x:row r="31" ht="34" customHeight="1">
      <x:c r="A31" s="46"/>
      <x:c r="B31" s="46"/>
      <x:c r="C31" s="80"/>
      <x:c r="D31" s="80"/>
      <x:c r="E31" s="46"/>
      <x:c r="F31" s="46"/>
      <x:c r="G31" s="46"/>
      <x:c r="H31" s="46"/>
      <x:c r="I31" s="86" t="str">
        <x:f>IF(A31="","",IF(AND(COUNT(C31:D31)=2,D31&gt;=C31),(D31-C31)*'01 Setup'!$B$22,""))</x:f>
      </x:c>
      <x:c r="J31" s="83" t="str">
        <x:f>IF(AND(ISNUMBER(I31),ISNUMBER('01 Setup'!$B$11),'01 Setup'!$B$11&gt;0),IF(I31&lt;='01 Setup'!$B$11,"Yes","No"),"")</x:f>
      </x:c>
      <x:c r="K31" s="83" t="str">
        <x:f>IF(A31="",IF(COUNTA(B31:H31)&gt;0,"Missing case ID",""),IF(COUNTIF($A$10:$A$99,A31)&gt;1,"Duplicate ID",IF(OR(B31="",G31="",H31=""),"Complete phase/eligibility/stop",IF(OR(NOT(OR(G31="Yes",G31="No")),NOT(OR(H31="Yes",H31="No"))),"Invalid eligibility/stop",IF(NOT(ISNUMBER(C31)),"Missing receipt",IF(D31="","Open",IF(NOT(ISNUMBER(D31)),"Invalid delivery",IF(D31&lt;C31,"Delivery before receipt",IF(OR(E31="",F31=""),"Complete quality/route",IF(OR(NOT(OR(E31="Yes",E31="No")),NOT(OR(F31="Standard",F31="Assisted",F31="Other"))),"Invalid quality/route","Valid"))))))))))</x:f>
      </x:c>
      <x:c r="L31" s="86" t="str">
        <x:f>IF(AND('01 Setup'!$B$10&lt;&gt;"",B31='01 Setup'!$B$10,G31="Yes",K31="Valid"),I31,"")</x:f>
      </x:c>
      <x:c r="M31" s="86" t="str">
        <x:f>IF(A31="","",IF(AND('01 Setup'!$B$10&lt;&gt;"",B31='01 Setup'!$B$10,G31="Yes",K31="Valid"),1,0))</x:f>
      </x:c>
      <x:c r="N31" s="86" t="str">
        <x:f>IF(AND(A31&lt;&gt;"",D31="",ISNUMBER(C31),ISNUMBER('01 Setup'!$B$31),'01 Setup'!$B$31&gt;=C31),('01 Setup'!$B$31-C31)*'01 Setup'!$B$22,"")</x:f>
      </x:c>
      <x:c r="O31" s="3"/>
      <x:c r="P31" s="3"/>
      <x:c r="Q31" s="3"/>
      <x:c r="R31" s="3"/>
    </x:row>
    <x:row r="32" ht="34" customHeight="1">
      <x:c r="A32" s="46"/>
      <x:c r="B32" s="46"/>
      <x:c r="C32" s="80"/>
      <x:c r="D32" s="80"/>
      <x:c r="E32" s="46"/>
      <x:c r="F32" s="46"/>
      <x:c r="G32" s="46"/>
      <x:c r="H32" s="46"/>
      <x:c r="I32" s="86" t="str">
        <x:f>IF(A32="","",IF(AND(COUNT(C32:D32)=2,D32&gt;=C32),(D32-C32)*'01 Setup'!$B$22,""))</x:f>
      </x:c>
      <x:c r="J32" s="83" t="str">
        <x:f>IF(AND(ISNUMBER(I32),ISNUMBER('01 Setup'!$B$11),'01 Setup'!$B$11&gt;0),IF(I32&lt;='01 Setup'!$B$11,"Yes","No"),"")</x:f>
      </x:c>
      <x:c r="K32" s="83" t="str">
        <x:f>IF(A32="",IF(COUNTA(B32:H32)&gt;0,"Missing case ID",""),IF(COUNTIF($A$10:$A$99,A32)&gt;1,"Duplicate ID",IF(OR(B32="",G32="",H32=""),"Complete phase/eligibility/stop",IF(OR(NOT(OR(G32="Yes",G32="No")),NOT(OR(H32="Yes",H32="No"))),"Invalid eligibility/stop",IF(NOT(ISNUMBER(C32)),"Missing receipt",IF(D32="","Open",IF(NOT(ISNUMBER(D32)),"Invalid delivery",IF(D32&lt;C32,"Delivery before receipt",IF(OR(E32="",F32=""),"Complete quality/route",IF(OR(NOT(OR(E32="Yes",E32="No")),NOT(OR(F32="Standard",F32="Assisted",F32="Other"))),"Invalid quality/route","Valid"))))))))))</x:f>
      </x:c>
      <x:c r="L32" s="86" t="str">
        <x:f>IF(AND('01 Setup'!$B$10&lt;&gt;"",B32='01 Setup'!$B$10,G32="Yes",K32="Valid"),I32,"")</x:f>
      </x:c>
      <x:c r="M32" s="86" t="str">
        <x:f>IF(A32="","",IF(AND('01 Setup'!$B$10&lt;&gt;"",B32='01 Setup'!$B$10,G32="Yes",K32="Valid"),1,0))</x:f>
      </x:c>
      <x:c r="N32" s="86" t="str">
        <x:f>IF(AND(A32&lt;&gt;"",D32="",ISNUMBER(C32),ISNUMBER('01 Setup'!$B$31),'01 Setup'!$B$31&gt;=C32),('01 Setup'!$B$31-C32)*'01 Setup'!$B$22,"")</x:f>
      </x:c>
      <x:c r="O32" s="3"/>
      <x:c r="P32" s="3"/>
      <x:c r="Q32" s="3"/>
      <x:c r="R32" s="3"/>
    </x:row>
    <x:row r="33" ht="34" customHeight="1">
      <x:c r="A33" s="46"/>
      <x:c r="B33" s="46"/>
      <x:c r="C33" s="80"/>
      <x:c r="D33" s="80"/>
      <x:c r="E33" s="46"/>
      <x:c r="F33" s="46"/>
      <x:c r="G33" s="46"/>
      <x:c r="H33" s="46"/>
      <x:c r="I33" s="86" t="str">
        <x:f>IF(A33="","",IF(AND(COUNT(C33:D33)=2,D33&gt;=C33),(D33-C33)*'01 Setup'!$B$22,""))</x:f>
      </x:c>
      <x:c r="J33" s="83" t="str">
        <x:f>IF(AND(ISNUMBER(I33),ISNUMBER('01 Setup'!$B$11),'01 Setup'!$B$11&gt;0),IF(I33&lt;='01 Setup'!$B$11,"Yes","No"),"")</x:f>
      </x:c>
      <x:c r="K33" s="83" t="str">
        <x:f>IF(A33="",IF(COUNTA(B33:H33)&gt;0,"Missing case ID",""),IF(COUNTIF($A$10:$A$99,A33)&gt;1,"Duplicate ID",IF(OR(B33="",G33="",H33=""),"Complete phase/eligibility/stop",IF(OR(NOT(OR(G33="Yes",G33="No")),NOT(OR(H33="Yes",H33="No"))),"Invalid eligibility/stop",IF(NOT(ISNUMBER(C33)),"Missing receipt",IF(D33="","Open",IF(NOT(ISNUMBER(D33)),"Invalid delivery",IF(D33&lt;C33,"Delivery before receipt",IF(OR(E33="",F33=""),"Complete quality/route",IF(OR(NOT(OR(E33="Yes",E33="No")),NOT(OR(F33="Standard",F33="Assisted",F33="Other"))),"Invalid quality/route","Valid"))))))))))</x:f>
      </x:c>
      <x:c r="L33" s="86" t="str">
        <x:f>IF(AND('01 Setup'!$B$10&lt;&gt;"",B33='01 Setup'!$B$10,G33="Yes",K33="Valid"),I33,"")</x:f>
      </x:c>
      <x:c r="M33" s="86" t="str">
        <x:f>IF(A33="","",IF(AND('01 Setup'!$B$10&lt;&gt;"",B33='01 Setup'!$B$10,G33="Yes",K33="Valid"),1,0))</x:f>
      </x:c>
      <x:c r="N33" s="86" t="str">
        <x:f>IF(AND(A33&lt;&gt;"",D33="",ISNUMBER(C33),ISNUMBER('01 Setup'!$B$31),'01 Setup'!$B$31&gt;=C33),('01 Setup'!$B$31-C33)*'01 Setup'!$B$22,"")</x:f>
      </x:c>
      <x:c r="O33" s="3"/>
      <x:c r="P33" s="3"/>
      <x:c r="Q33" s="3"/>
      <x:c r="R33" s="3"/>
    </x:row>
    <x:row r="34" ht="34" customHeight="1">
      <x:c r="A34" s="46"/>
      <x:c r="B34" s="46"/>
      <x:c r="C34" s="80"/>
      <x:c r="D34" s="80"/>
      <x:c r="E34" s="46"/>
      <x:c r="F34" s="46"/>
      <x:c r="G34" s="46"/>
      <x:c r="H34" s="46"/>
      <x:c r="I34" s="86" t="str">
        <x:f>IF(A34="","",IF(AND(COUNT(C34:D34)=2,D34&gt;=C34),(D34-C34)*'01 Setup'!$B$22,""))</x:f>
      </x:c>
      <x:c r="J34" s="83" t="str">
        <x:f>IF(AND(ISNUMBER(I34),ISNUMBER('01 Setup'!$B$11),'01 Setup'!$B$11&gt;0),IF(I34&lt;='01 Setup'!$B$11,"Yes","No"),"")</x:f>
      </x:c>
      <x:c r="K34" s="83" t="str">
        <x:f>IF(A34="",IF(COUNTA(B34:H34)&gt;0,"Missing case ID",""),IF(COUNTIF($A$10:$A$99,A34)&gt;1,"Duplicate ID",IF(OR(B34="",G34="",H34=""),"Complete phase/eligibility/stop",IF(OR(NOT(OR(G34="Yes",G34="No")),NOT(OR(H34="Yes",H34="No"))),"Invalid eligibility/stop",IF(NOT(ISNUMBER(C34)),"Missing receipt",IF(D34="","Open",IF(NOT(ISNUMBER(D34)),"Invalid delivery",IF(D34&lt;C34,"Delivery before receipt",IF(OR(E34="",F34=""),"Complete quality/route",IF(OR(NOT(OR(E34="Yes",E34="No")),NOT(OR(F34="Standard",F34="Assisted",F34="Other"))),"Invalid quality/route","Valid"))))))))))</x:f>
      </x:c>
      <x:c r="L34" s="86" t="str">
        <x:f>IF(AND('01 Setup'!$B$10&lt;&gt;"",B34='01 Setup'!$B$10,G34="Yes",K34="Valid"),I34,"")</x:f>
      </x:c>
      <x:c r="M34" s="86" t="str">
        <x:f>IF(A34="","",IF(AND('01 Setup'!$B$10&lt;&gt;"",B34='01 Setup'!$B$10,G34="Yes",K34="Valid"),1,0))</x:f>
      </x:c>
      <x:c r="N34" s="86" t="str">
        <x:f>IF(AND(A34&lt;&gt;"",D34="",ISNUMBER(C34),ISNUMBER('01 Setup'!$B$31),'01 Setup'!$B$31&gt;=C34),('01 Setup'!$B$31-C34)*'01 Setup'!$B$22,"")</x:f>
      </x:c>
      <x:c r="O34" s="3"/>
      <x:c r="P34" s="3"/>
      <x:c r="Q34" s="3"/>
      <x:c r="R34" s="3"/>
    </x:row>
    <x:row r="35" ht="34" customHeight="1">
      <x:c r="A35" s="46"/>
      <x:c r="B35" s="46"/>
      <x:c r="C35" s="80"/>
      <x:c r="D35" s="80"/>
      <x:c r="E35" s="46"/>
      <x:c r="F35" s="46"/>
      <x:c r="G35" s="46"/>
      <x:c r="H35" s="46"/>
      <x:c r="I35" s="86" t="str">
        <x:f>IF(A35="","",IF(AND(COUNT(C35:D35)=2,D35&gt;=C35),(D35-C35)*'01 Setup'!$B$22,""))</x:f>
      </x:c>
      <x:c r="J35" s="83" t="str">
        <x:f>IF(AND(ISNUMBER(I35),ISNUMBER('01 Setup'!$B$11),'01 Setup'!$B$11&gt;0),IF(I35&lt;='01 Setup'!$B$11,"Yes","No"),"")</x:f>
      </x:c>
      <x:c r="K35" s="83" t="str">
        <x:f>IF(A35="",IF(COUNTA(B35:H35)&gt;0,"Missing case ID",""),IF(COUNTIF($A$10:$A$99,A35)&gt;1,"Duplicate ID",IF(OR(B35="",G35="",H35=""),"Complete phase/eligibility/stop",IF(OR(NOT(OR(G35="Yes",G35="No")),NOT(OR(H35="Yes",H35="No"))),"Invalid eligibility/stop",IF(NOT(ISNUMBER(C35)),"Missing receipt",IF(D35="","Open",IF(NOT(ISNUMBER(D35)),"Invalid delivery",IF(D35&lt;C35,"Delivery before receipt",IF(OR(E35="",F35=""),"Complete quality/route",IF(OR(NOT(OR(E35="Yes",E35="No")),NOT(OR(F35="Standard",F35="Assisted",F35="Other"))),"Invalid quality/route","Valid"))))))))))</x:f>
      </x:c>
      <x:c r="L35" s="86" t="str">
        <x:f>IF(AND('01 Setup'!$B$10&lt;&gt;"",B35='01 Setup'!$B$10,G35="Yes",K35="Valid"),I35,"")</x:f>
      </x:c>
      <x:c r="M35" s="86" t="str">
        <x:f>IF(A35="","",IF(AND('01 Setup'!$B$10&lt;&gt;"",B35='01 Setup'!$B$10,G35="Yes",K35="Valid"),1,0))</x:f>
      </x:c>
      <x:c r="N35" s="86" t="str">
        <x:f>IF(AND(A35&lt;&gt;"",D35="",ISNUMBER(C35),ISNUMBER('01 Setup'!$B$31),'01 Setup'!$B$31&gt;=C35),('01 Setup'!$B$31-C35)*'01 Setup'!$B$22,"")</x:f>
      </x:c>
      <x:c r="O35" s="3"/>
      <x:c r="P35" s="3"/>
      <x:c r="Q35" s="3"/>
      <x:c r="R35" s="3"/>
    </x:row>
    <x:row r="36" ht="34" customHeight="1">
      <x:c r="A36" s="46"/>
      <x:c r="B36" s="46"/>
      <x:c r="C36" s="80"/>
      <x:c r="D36" s="80"/>
      <x:c r="E36" s="46"/>
      <x:c r="F36" s="46"/>
      <x:c r="G36" s="46"/>
      <x:c r="H36" s="46"/>
      <x:c r="I36" s="86" t="str">
        <x:f>IF(A36="","",IF(AND(COUNT(C36:D36)=2,D36&gt;=C36),(D36-C36)*'01 Setup'!$B$22,""))</x:f>
      </x:c>
      <x:c r="J36" s="83" t="str">
        <x:f>IF(AND(ISNUMBER(I36),ISNUMBER('01 Setup'!$B$11),'01 Setup'!$B$11&gt;0),IF(I36&lt;='01 Setup'!$B$11,"Yes","No"),"")</x:f>
      </x:c>
      <x:c r="K36" s="83" t="str">
        <x:f>IF(A36="",IF(COUNTA(B36:H36)&gt;0,"Missing case ID",""),IF(COUNTIF($A$10:$A$99,A36)&gt;1,"Duplicate ID",IF(OR(B36="",G36="",H36=""),"Complete phase/eligibility/stop",IF(OR(NOT(OR(G36="Yes",G36="No")),NOT(OR(H36="Yes",H36="No"))),"Invalid eligibility/stop",IF(NOT(ISNUMBER(C36)),"Missing receipt",IF(D36="","Open",IF(NOT(ISNUMBER(D36)),"Invalid delivery",IF(D36&lt;C36,"Delivery before receipt",IF(OR(E36="",F36=""),"Complete quality/route",IF(OR(NOT(OR(E36="Yes",E36="No")),NOT(OR(F36="Standard",F36="Assisted",F36="Other"))),"Invalid quality/route","Valid"))))))))))</x:f>
      </x:c>
      <x:c r="L36" s="86" t="str">
        <x:f>IF(AND('01 Setup'!$B$10&lt;&gt;"",B36='01 Setup'!$B$10,G36="Yes",K36="Valid"),I36,"")</x:f>
      </x:c>
      <x:c r="M36" s="86" t="str">
        <x:f>IF(A36="","",IF(AND('01 Setup'!$B$10&lt;&gt;"",B36='01 Setup'!$B$10,G36="Yes",K36="Valid"),1,0))</x:f>
      </x:c>
      <x:c r="N36" s="86" t="str">
        <x:f>IF(AND(A36&lt;&gt;"",D36="",ISNUMBER(C36),ISNUMBER('01 Setup'!$B$31),'01 Setup'!$B$31&gt;=C36),('01 Setup'!$B$31-C36)*'01 Setup'!$B$22,"")</x:f>
      </x:c>
      <x:c r="O36" s="3"/>
      <x:c r="P36" s="3"/>
      <x:c r="Q36" s="3"/>
      <x:c r="R36" s="3"/>
    </x:row>
    <x:row r="37" ht="34" customHeight="1">
      <x:c r="A37" s="46"/>
      <x:c r="B37" s="46"/>
      <x:c r="C37" s="80"/>
      <x:c r="D37" s="80"/>
      <x:c r="E37" s="46"/>
      <x:c r="F37" s="46"/>
      <x:c r="G37" s="46"/>
      <x:c r="H37" s="46"/>
      <x:c r="I37" s="86" t="str">
        <x:f>IF(A37="","",IF(AND(COUNT(C37:D37)=2,D37&gt;=C37),(D37-C37)*'01 Setup'!$B$22,""))</x:f>
      </x:c>
      <x:c r="J37" s="83" t="str">
        <x:f>IF(AND(ISNUMBER(I37),ISNUMBER('01 Setup'!$B$11),'01 Setup'!$B$11&gt;0),IF(I37&lt;='01 Setup'!$B$11,"Yes","No"),"")</x:f>
      </x:c>
      <x:c r="K37" s="83" t="str">
        <x:f>IF(A37="",IF(COUNTA(B37:H37)&gt;0,"Missing case ID",""),IF(COUNTIF($A$10:$A$99,A37)&gt;1,"Duplicate ID",IF(OR(B37="",G37="",H37=""),"Complete phase/eligibility/stop",IF(OR(NOT(OR(G37="Yes",G37="No")),NOT(OR(H37="Yes",H37="No"))),"Invalid eligibility/stop",IF(NOT(ISNUMBER(C37)),"Missing receipt",IF(D37="","Open",IF(NOT(ISNUMBER(D37)),"Invalid delivery",IF(D37&lt;C37,"Delivery before receipt",IF(OR(E37="",F37=""),"Complete quality/route",IF(OR(NOT(OR(E37="Yes",E37="No")),NOT(OR(F37="Standard",F37="Assisted",F37="Other"))),"Invalid quality/route","Valid"))))))))))</x:f>
      </x:c>
      <x:c r="L37" s="86" t="str">
        <x:f>IF(AND('01 Setup'!$B$10&lt;&gt;"",B37='01 Setup'!$B$10,G37="Yes",K37="Valid"),I37,"")</x:f>
      </x:c>
      <x:c r="M37" s="86" t="str">
        <x:f>IF(A37="","",IF(AND('01 Setup'!$B$10&lt;&gt;"",B37='01 Setup'!$B$10,G37="Yes",K37="Valid"),1,0))</x:f>
      </x:c>
      <x:c r="N37" s="86" t="str">
        <x:f>IF(AND(A37&lt;&gt;"",D37="",ISNUMBER(C37),ISNUMBER('01 Setup'!$B$31),'01 Setup'!$B$31&gt;=C37),('01 Setup'!$B$31-C37)*'01 Setup'!$B$22,"")</x:f>
      </x:c>
      <x:c r="O37" s="3"/>
      <x:c r="P37" s="3"/>
      <x:c r="Q37" s="3"/>
      <x:c r="R37" s="3"/>
    </x:row>
    <x:row r="38" ht="34" customHeight="1">
      <x:c r="A38" s="46"/>
      <x:c r="B38" s="46"/>
      <x:c r="C38" s="80"/>
      <x:c r="D38" s="80"/>
      <x:c r="E38" s="46"/>
      <x:c r="F38" s="46"/>
      <x:c r="G38" s="46"/>
      <x:c r="H38" s="46"/>
      <x:c r="I38" s="86" t="str">
        <x:f>IF(A38="","",IF(AND(COUNT(C38:D38)=2,D38&gt;=C38),(D38-C38)*'01 Setup'!$B$22,""))</x:f>
      </x:c>
      <x:c r="J38" s="83" t="str">
        <x:f>IF(AND(ISNUMBER(I38),ISNUMBER('01 Setup'!$B$11),'01 Setup'!$B$11&gt;0),IF(I38&lt;='01 Setup'!$B$11,"Yes","No"),"")</x:f>
      </x:c>
      <x:c r="K38" s="83" t="str">
        <x:f>IF(A38="",IF(COUNTA(B38:H38)&gt;0,"Missing case ID",""),IF(COUNTIF($A$10:$A$99,A38)&gt;1,"Duplicate ID",IF(OR(B38="",G38="",H38=""),"Complete phase/eligibility/stop",IF(OR(NOT(OR(G38="Yes",G38="No")),NOT(OR(H38="Yes",H38="No"))),"Invalid eligibility/stop",IF(NOT(ISNUMBER(C38)),"Missing receipt",IF(D38="","Open",IF(NOT(ISNUMBER(D38)),"Invalid delivery",IF(D38&lt;C38,"Delivery before receipt",IF(OR(E38="",F38=""),"Complete quality/route",IF(OR(NOT(OR(E38="Yes",E38="No")),NOT(OR(F38="Standard",F38="Assisted",F38="Other"))),"Invalid quality/route","Valid"))))))))))</x:f>
      </x:c>
      <x:c r="L38" s="86" t="str">
        <x:f>IF(AND('01 Setup'!$B$10&lt;&gt;"",B38='01 Setup'!$B$10,G38="Yes",K38="Valid"),I38,"")</x:f>
      </x:c>
      <x:c r="M38" s="86" t="str">
        <x:f>IF(A38="","",IF(AND('01 Setup'!$B$10&lt;&gt;"",B38='01 Setup'!$B$10,G38="Yes",K38="Valid"),1,0))</x:f>
      </x:c>
      <x:c r="N38" s="86" t="str">
        <x:f>IF(AND(A38&lt;&gt;"",D38="",ISNUMBER(C38),ISNUMBER('01 Setup'!$B$31),'01 Setup'!$B$31&gt;=C38),('01 Setup'!$B$31-C38)*'01 Setup'!$B$22,"")</x:f>
      </x:c>
      <x:c r="O38" s="3"/>
      <x:c r="P38" s="3"/>
      <x:c r="Q38" s="3"/>
      <x:c r="R38" s="3"/>
    </x:row>
    <x:row r="39" ht="34" customHeight="1">
      <x:c r="A39" s="46"/>
      <x:c r="B39" s="46"/>
      <x:c r="C39" s="80"/>
      <x:c r="D39" s="80"/>
      <x:c r="E39" s="46"/>
      <x:c r="F39" s="46"/>
      <x:c r="G39" s="46"/>
      <x:c r="H39" s="46"/>
      <x:c r="I39" s="86" t="str">
        <x:f>IF(A39="","",IF(AND(COUNT(C39:D39)=2,D39&gt;=C39),(D39-C39)*'01 Setup'!$B$22,""))</x:f>
      </x:c>
      <x:c r="J39" s="83" t="str">
        <x:f>IF(AND(ISNUMBER(I39),ISNUMBER('01 Setup'!$B$11),'01 Setup'!$B$11&gt;0),IF(I39&lt;='01 Setup'!$B$11,"Yes","No"),"")</x:f>
      </x:c>
      <x:c r="K39" s="83" t="str">
        <x:f>IF(A39="",IF(COUNTA(B39:H39)&gt;0,"Missing case ID",""),IF(COUNTIF($A$10:$A$99,A39)&gt;1,"Duplicate ID",IF(OR(B39="",G39="",H39=""),"Complete phase/eligibility/stop",IF(OR(NOT(OR(G39="Yes",G39="No")),NOT(OR(H39="Yes",H39="No"))),"Invalid eligibility/stop",IF(NOT(ISNUMBER(C39)),"Missing receipt",IF(D39="","Open",IF(NOT(ISNUMBER(D39)),"Invalid delivery",IF(D39&lt;C39,"Delivery before receipt",IF(OR(E39="",F39=""),"Complete quality/route",IF(OR(NOT(OR(E39="Yes",E39="No")),NOT(OR(F39="Standard",F39="Assisted",F39="Other"))),"Invalid quality/route","Valid"))))))))))</x:f>
      </x:c>
      <x:c r="L39" s="86" t="str">
        <x:f>IF(AND('01 Setup'!$B$10&lt;&gt;"",B39='01 Setup'!$B$10,G39="Yes",K39="Valid"),I39,"")</x:f>
      </x:c>
      <x:c r="M39" s="86" t="str">
        <x:f>IF(A39="","",IF(AND('01 Setup'!$B$10&lt;&gt;"",B39='01 Setup'!$B$10,G39="Yes",K39="Valid"),1,0))</x:f>
      </x:c>
      <x:c r="N39" s="86" t="str">
        <x:f>IF(AND(A39&lt;&gt;"",D39="",ISNUMBER(C39),ISNUMBER('01 Setup'!$B$31),'01 Setup'!$B$31&gt;=C39),('01 Setup'!$B$31-C39)*'01 Setup'!$B$22,"")</x:f>
      </x:c>
      <x:c r="O39" s="3"/>
      <x:c r="P39" s="3"/>
      <x:c r="Q39" s="3"/>
      <x:c r="R39" s="3"/>
    </x:row>
    <x:row r="40" ht="34" customHeight="1">
      <x:c r="A40" s="46"/>
      <x:c r="B40" s="46"/>
      <x:c r="C40" s="80"/>
      <x:c r="D40" s="80"/>
      <x:c r="E40" s="46"/>
      <x:c r="F40" s="46"/>
      <x:c r="G40" s="46"/>
      <x:c r="H40" s="46"/>
      <x:c r="I40" s="86" t="str">
        <x:f>IF(A40="","",IF(AND(COUNT(C40:D40)=2,D40&gt;=C40),(D40-C40)*'01 Setup'!$B$22,""))</x:f>
      </x:c>
      <x:c r="J40" s="83" t="str">
        <x:f>IF(AND(ISNUMBER(I40),ISNUMBER('01 Setup'!$B$11),'01 Setup'!$B$11&gt;0),IF(I40&lt;='01 Setup'!$B$11,"Yes","No"),"")</x:f>
      </x:c>
      <x:c r="K40" s="83" t="str">
        <x:f>IF(A40="",IF(COUNTA(B40:H40)&gt;0,"Missing case ID",""),IF(COUNTIF($A$10:$A$99,A40)&gt;1,"Duplicate ID",IF(OR(B40="",G40="",H40=""),"Complete phase/eligibility/stop",IF(OR(NOT(OR(G40="Yes",G40="No")),NOT(OR(H40="Yes",H40="No"))),"Invalid eligibility/stop",IF(NOT(ISNUMBER(C40)),"Missing receipt",IF(D40="","Open",IF(NOT(ISNUMBER(D40)),"Invalid delivery",IF(D40&lt;C40,"Delivery before receipt",IF(OR(E40="",F40=""),"Complete quality/route",IF(OR(NOT(OR(E40="Yes",E40="No")),NOT(OR(F40="Standard",F40="Assisted",F40="Other"))),"Invalid quality/route","Valid"))))))))))</x:f>
      </x:c>
      <x:c r="L40" s="86" t="str">
        <x:f>IF(AND('01 Setup'!$B$10&lt;&gt;"",B40='01 Setup'!$B$10,G40="Yes",K40="Valid"),I40,"")</x:f>
      </x:c>
      <x:c r="M40" s="86" t="str">
        <x:f>IF(A40="","",IF(AND('01 Setup'!$B$10&lt;&gt;"",B40='01 Setup'!$B$10,G40="Yes",K40="Valid"),1,0))</x:f>
      </x:c>
      <x:c r="N40" s="86" t="str">
        <x:f>IF(AND(A40&lt;&gt;"",D40="",ISNUMBER(C40),ISNUMBER('01 Setup'!$B$31),'01 Setup'!$B$31&gt;=C40),('01 Setup'!$B$31-C40)*'01 Setup'!$B$22,"")</x:f>
      </x:c>
      <x:c r="O40" s="3"/>
      <x:c r="P40" s="3"/>
      <x:c r="Q40" s="3"/>
      <x:c r="R40" s="3"/>
    </x:row>
    <x:row r="41" ht="34" customHeight="1">
      <x:c r="A41" s="46"/>
      <x:c r="B41" s="46"/>
      <x:c r="C41" s="80"/>
      <x:c r="D41" s="80"/>
      <x:c r="E41" s="46"/>
      <x:c r="F41" s="46"/>
      <x:c r="G41" s="46"/>
      <x:c r="H41" s="46"/>
      <x:c r="I41" s="86" t="str">
        <x:f>IF(A41="","",IF(AND(COUNT(C41:D41)=2,D41&gt;=C41),(D41-C41)*'01 Setup'!$B$22,""))</x:f>
      </x:c>
      <x:c r="J41" s="83" t="str">
        <x:f>IF(AND(ISNUMBER(I41),ISNUMBER('01 Setup'!$B$11),'01 Setup'!$B$11&gt;0),IF(I41&lt;='01 Setup'!$B$11,"Yes","No"),"")</x:f>
      </x:c>
      <x:c r="K41" s="83" t="str">
        <x:f>IF(A41="",IF(COUNTA(B41:H41)&gt;0,"Missing case ID",""),IF(COUNTIF($A$10:$A$99,A41)&gt;1,"Duplicate ID",IF(OR(B41="",G41="",H41=""),"Complete phase/eligibility/stop",IF(OR(NOT(OR(G41="Yes",G41="No")),NOT(OR(H41="Yes",H41="No"))),"Invalid eligibility/stop",IF(NOT(ISNUMBER(C41)),"Missing receipt",IF(D41="","Open",IF(NOT(ISNUMBER(D41)),"Invalid delivery",IF(D41&lt;C41,"Delivery before receipt",IF(OR(E41="",F41=""),"Complete quality/route",IF(OR(NOT(OR(E41="Yes",E41="No")),NOT(OR(F41="Standard",F41="Assisted",F41="Other"))),"Invalid quality/route","Valid"))))))))))</x:f>
      </x:c>
      <x:c r="L41" s="86" t="str">
        <x:f>IF(AND('01 Setup'!$B$10&lt;&gt;"",B41='01 Setup'!$B$10,G41="Yes",K41="Valid"),I41,"")</x:f>
      </x:c>
      <x:c r="M41" s="86" t="str">
        <x:f>IF(A41="","",IF(AND('01 Setup'!$B$10&lt;&gt;"",B41='01 Setup'!$B$10,G41="Yes",K41="Valid"),1,0))</x:f>
      </x:c>
      <x:c r="N41" s="86" t="str">
        <x:f>IF(AND(A41&lt;&gt;"",D41="",ISNUMBER(C41),ISNUMBER('01 Setup'!$B$31),'01 Setup'!$B$31&gt;=C41),('01 Setup'!$B$31-C41)*'01 Setup'!$B$22,"")</x:f>
      </x:c>
      <x:c r="O41" s="3"/>
      <x:c r="P41" s="3"/>
      <x:c r="Q41" s="3"/>
      <x:c r="R41" s="3"/>
    </x:row>
    <x:row r="42" ht="34" customHeight="1">
      <x:c r="A42" s="46"/>
      <x:c r="B42" s="46"/>
      <x:c r="C42" s="80"/>
      <x:c r="D42" s="80"/>
      <x:c r="E42" s="46"/>
      <x:c r="F42" s="46"/>
      <x:c r="G42" s="46"/>
      <x:c r="H42" s="46"/>
      <x:c r="I42" s="86" t="str">
        <x:f>IF(A42="","",IF(AND(COUNT(C42:D42)=2,D42&gt;=C42),(D42-C42)*'01 Setup'!$B$22,""))</x:f>
      </x:c>
      <x:c r="J42" s="83" t="str">
        <x:f>IF(AND(ISNUMBER(I42),ISNUMBER('01 Setup'!$B$11),'01 Setup'!$B$11&gt;0),IF(I42&lt;='01 Setup'!$B$11,"Yes","No"),"")</x:f>
      </x:c>
      <x:c r="K42" s="83" t="str">
        <x:f>IF(A42="",IF(COUNTA(B42:H42)&gt;0,"Missing case ID",""),IF(COUNTIF($A$10:$A$99,A42)&gt;1,"Duplicate ID",IF(OR(B42="",G42="",H42=""),"Complete phase/eligibility/stop",IF(OR(NOT(OR(G42="Yes",G42="No")),NOT(OR(H42="Yes",H42="No"))),"Invalid eligibility/stop",IF(NOT(ISNUMBER(C42)),"Missing receipt",IF(D42="","Open",IF(NOT(ISNUMBER(D42)),"Invalid delivery",IF(D42&lt;C42,"Delivery before receipt",IF(OR(E42="",F42=""),"Complete quality/route",IF(OR(NOT(OR(E42="Yes",E42="No")),NOT(OR(F42="Standard",F42="Assisted",F42="Other"))),"Invalid quality/route","Valid"))))))))))</x:f>
      </x:c>
      <x:c r="L42" s="86" t="str">
        <x:f>IF(AND('01 Setup'!$B$10&lt;&gt;"",B42='01 Setup'!$B$10,G42="Yes",K42="Valid"),I42,"")</x:f>
      </x:c>
      <x:c r="M42" s="86" t="str">
        <x:f>IF(A42="","",IF(AND('01 Setup'!$B$10&lt;&gt;"",B42='01 Setup'!$B$10,G42="Yes",K42="Valid"),1,0))</x:f>
      </x:c>
      <x:c r="N42" s="86" t="str">
        <x:f>IF(AND(A42&lt;&gt;"",D42="",ISNUMBER(C42),ISNUMBER('01 Setup'!$B$31),'01 Setup'!$B$31&gt;=C42),('01 Setup'!$B$31-C42)*'01 Setup'!$B$22,"")</x:f>
      </x:c>
      <x:c r="O42" s="3"/>
      <x:c r="P42" s="3"/>
      <x:c r="Q42" s="3"/>
      <x:c r="R42" s="3"/>
    </x:row>
    <x:row r="43" ht="34" customHeight="1">
      <x:c r="A43" s="46"/>
      <x:c r="B43" s="46"/>
      <x:c r="C43" s="80"/>
      <x:c r="D43" s="80"/>
      <x:c r="E43" s="46"/>
      <x:c r="F43" s="46"/>
      <x:c r="G43" s="46"/>
      <x:c r="H43" s="46"/>
      <x:c r="I43" s="86" t="str">
        <x:f>IF(A43="","",IF(AND(COUNT(C43:D43)=2,D43&gt;=C43),(D43-C43)*'01 Setup'!$B$22,""))</x:f>
      </x:c>
      <x:c r="J43" s="83" t="str">
        <x:f>IF(AND(ISNUMBER(I43),ISNUMBER('01 Setup'!$B$11),'01 Setup'!$B$11&gt;0),IF(I43&lt;='01 Setup'!$B$11,"Yes","No"),"")</x:f>
      </x:c>
      <x:c r="K43" s="83" t="str">
        <x:f>IF(A43="",IF(COUNTA(B43:H43)&gt;0,"Missing case ID",""),IF(COUNTIF($A$10:$A$99,A43)&gt;1,"Duplicate ID",IF(OR(B43="",G43="",H43=""),"Complete phase/eligibility/stop",IF(OR(NOT(OR(G43="Yes",G43="No")),NOT(OR(H43="Yes",H43="No"))),"Invalid eligibility/stop",IF(NOT(ISNUMBER(C43)),"Missing receipt",IF(D43="","Open",IF(NOT(ISNUMBER(D43)),"Invalid delivery",IF(D43&lt;C43,"Delivery before receipt",IF(OR(E43="",F43=""),"Complete quality/route",IF(OR(NOT(OR(E43="Yes",E43="No")),NOT(OR(F43="Standard",F43="Assisted",F43="Other"))),"Invalid quality/route","Valid"))))))))))</x:f>
      </x:c>
      <x:c r="L43" s="86" t="str">
        <x:f>IF(AND('01 Setup'!$B$10&lt;&gt;"",B43='01 Setup'!$B$10,G43="Yes",K43="Valid"),I43,"")</x:f>
      </x:c>
      <x:c r="M43" s="86" t="str">
        <x:f>IF(A43="","",IF(AND('01 Setup'!$B$10&lt;&gt;"",B43='01 Setup'!$B$10,G43="Yes",K43="Valid"),1,0))</x:f>
      </x:c>
      <x:c r="N43" s="86" t="str">
        <x:f>IF(AND(A43&lt;&gt;"",D43="",ISNUMBER(C43),ISNUMBER('01 Setup'!$B$31),'01 Setup'!$B$31&gt;=C43),('01 Setup'!$B$31-C43)*'01 Setup'!$B$22,"")</x:f>
      </x:c>
      <x:c r="O43" s="3"/>
      <x:c r="P43" s="3"/>
      <x:c r="Q43" s="3"/>
      <x:c r="R43" s="3"/>
    </x:row>
    <x:row r="44" ht="34" customHeight="1">
      <x:c r="A44" s="46"/>
      <x:c r="B44" s="46"/>
      <x:c r="C44" s="80"/>
      <x:c r="D44" s="80"/>
      <x:c r="E44" s="46"/>
      <x:c r="F44" s="46"/>
      <x:c r="G44" s="46"/>
      <x:c r="H44" s="46"/>
      <x:c r="I44" s="86" t="str">
        <x:f>IF(A44="","",IF(AND(COUNT(C44:D44)=2,D44&gt;=C44),(D44-C44)*'01 Setup'!$B$22,""))</x:f>
      </x:c>
      <x:c r="J44" s="83" t="str">
        <x:f>IF(AND(ISNUMBER(I44),ISNUMBER('01 Setup'!$B$11),'01 Setup'!$B$11&gt;0),IF(I44&lt;='01 Setup'!$B$11,"Yes","No"),"")</x:f>
      </x:c>
      <x:c r="K44" s="83" t="str">
        <x:f>IF(A44="",IF(COUNTA(B44:H44)&gt;0,"Missing case ID",""),IF(COUNTIF($A$10:$A$99,A44)&gt;1,"Duplicate ID",IF(OR(B44="",G44="",H44=""),"Complete phase/eligibility/stop",IF(OR(NOT(OR(G44="Yes",G44="No")),NOT(OR(H44="Yes",H44="No"))),"Invalid eligibility/stop",IF(NOT(ISNUMBER(C44)),"Missing receipt",IF(D44="","Open",IF(NOT(ISNUMBER(D44)),"Invalid delivery",IF(D44&lt;C44,"Delivery before receipt",IF(OR(E44="",F44=""),"Complete quality/route",IF(OR(NOT(OR(E44="Yes",E44="No")),NOT(OR(F44="Standard",F44="Assisted",F44="Other"))),"Invalid quality/route","Valid"))))))))))</x:f>
      </x:c>
      <x:c r="L44" s="86" t="str">
        <x:f>IF(AND('01 Setup'!$B$10&lt;&gt;"",B44='01 Setup'!$B$10,G44="Yes",K44="Valid"),I44,"")</x:f>
      </x:c>
      <x:c r="M44" s="86" t="str">
        <x:f>IF(A44="","",IF(AND('01 Setup'!$B$10&lt;&gt;"",B44='01 Setup'!$B$10,G44="Yes",K44="Valid"),1,0))</x:f>
      </x:c>
      <x:c r="N44" s="86" t="str">
        <x:f>IF(AND(A44&lt;&gt;"",D44="",ISNUMBER(C44),ISNUMBER('01 Setup'!$B$31),'01 Setup'!$B$31&gt;=C44),('01 Setup'!$B$31-C44)*'01 Setup'!$B$22,"")</x:f>
      </x:c>
      <x:c r="O44" s="3"/>
      <x:c r="P44" s="3"/>
      <x:c r="Q44" s="3"/>
      <x:c r="R44" s="3"/>
    </x:row>
    <x:row r="45" ht="34" customHeight="1">
      <x:c r="A45" s="46"/>
      <x:c r="B45" s="46"/>
      <x:c r="C45" s="80"/>
      <x:c r="D45" s="80"/>
      <x:c r="E45" s="46"/>
      <x:c r="F45" s="46"/>
      <x:c r="G45" s="46"/>
      <x:c r="H45" s="46"/>
      <x:c r="I45" s="86" t="str">
        <x:f>IF(A45="","",IF(AND(COUNT(C45:D45)=2,D45&gt;=C45),(D45-C45)*'01 Setup'!$B$22,""))</x:f>
      </x:c>
      <x:c r="J45" s="83" t="str">
        <x:f>IF(AND(ISNUMBER(I45),ISNUMBER('01 Setup'!$B$11),'01 Setup'!$B$11&gt;0),IF(I45&lt;='01 Setup'!$B$11,"Yes","No"),"")</x:f>
      </x:c>
      <x:c r="K45" s="83" t="str">
        <x:f>IF(A45="",IF(COUNTA(B45:H45)&gt;0,"Missing case ID",""),IF(COUNTIF($A$10:$A$99,A45)&gt;1,"Duplicate ID",IF(OR(B45="",G45="",H45=""),"Complete phase/eligibility/stop",IF(OR(NOT(OR(G45="Yes",G45="No")),NOT(OR(H45="Yes",H45="No"))),"Invalid eligibility/stop",IF(NOT(ISNUMBER(C45)),"Missing receipt",IF(D45="","Open",IF(NOT(ISNUMBER(D45)),"Invalid delivery",IF(D45&lt;C45,"Delivery before receipt",IF(OR(E45="",F45=""),"Complete quality/route",IF(OR(NOT(OR(E45="Yes",E45="No")),NOT(OR(F45="Standard",F45="Assisted",F45="Other"))),"Invalid quality/route","Valid"))))))))))</x:f>
      </x:c>
      <x:c r="L45" s="86" t="str">
        <x:f>IF(AND('01 Setup'!$B$10&lt;&gt;"",B45='01 Setup'!$B$10,G45="Yes",K45="Valid"),I45,"")</x:f>
      </x:c>
      <x:c r="M45" s="86" t="str">
        <x:f>IF(A45="","",IF(AND('01 Setup'!$B$10&lt;&gt;"",B45='01 Setup'!$B$10,G45="Yes",K45="Valid"),1,0))</x:f>
      </x:c>
      <x:c r="N45" s="86" t="str">
        <x:f>IF(AND(A45&lt;&gt;"",D45="",ISNUMBER(C45),ISNUMBER('01 Setup'!$B$31),'01 Setup'!$B$31&gt;=C45),('01 Setup'!$B$31-C45)*'01 Setup'!$B$22,"")</x:f>
      </x:c>
      <x:c r="O45" s="3"/>
      <x:c r="P45" s="3"/>
      <x:c r="Q45" s="3"/>
      <x:c r="R45" s="3"/>
    </x:row>
    <x:row r="46" ht="34" customHeight="1">
      <x:c r="A46" s="46"/>
      <x:c r="B46" s="46"/>
      <x:c r="C46" s="80"/>
      <x:c r="D46" s="80"/>
      <x:c r="E46" s="46"/>
      <x:c r="F46" s="46"/>
      <x:c r="G46" s="46"/>
      <x:c r="H46" s="46"/>
      <x:c r="I46" s="86" t="str">
        <x:f>IF(A46="","",IF(AND(COUNT(C46:D46)=2,D46&gt;=C46),(D46-C46)*'01 Setup'!$B$22,""))</x:f>
      </x:c>
      <x:c r="J46" s="83" t="str">
        <x:f>IF(AND(ISNUMBER(I46),ISNUMBER('01 Setup'!$B$11),'01 Setup'!$B$11&gt;0),IF(I46&lt;='01 Setup'!$B$11,"Yes","No"),"")</x:f>
      </x:c>
      <x:c r="K46" s="83" t="str">
        <x:f>IF(A46="",IF(COUNTA(B46:H46)&gt;0,"Missing case ID",""),IF(COUNTIF($A$10:$A$99,A46)&gt;1,"Duplicate ID",IF(OR(B46="",G46="",H46=""),"Complete phase/eligibility/stop",IF(OR(NOT(OR(G46="Yes",G46="No")),NOT(OR(H46="Yes",H46="No"))),"Invalid eligibility/stop",IF(NOT(ISNUMBER(C46)),"Missing receipt",IF(D46="","Open",IF(NOT(ISNUMBER(D46)),"Invalid delivery",IF(D46&lt;C46,"Delivery before receipt",IF(OR(E46="",F46=""),"Complete quality/route",IF(OR(NOT(OR(E46="Yes",E46="No")),NOT(OR(F46="Standard",F46="Assisted",F46="Other"))),"Invalid quality/route","Valid"))))))))))</x:f>
      </x:c>
      <x:c r="L46" s="86" t="str">
        <x:f>IF(AND('01 Setup'!$B$10&lt;&gt;"",B46='01 Setup'!$B$10,G46="Yes",K46="Valid"),I46,"")</x:f>
      </x:c>
      <x:c r="M46" s="86" t="str">
        <x:f>IF(A46="","",IF(AND('01 Setup'!$B$10&lt;&gt;"",B46='01 Setup'!$B$10,G46="Yes",K46="Valid"),1,0))</x:f>
      </x:c>
      <x:c r="N46" s="86" t="str">
        <x:f>IF(AND(A46&lt;&gt;"",D46="",ISNUMBER(C46),ISNUMBER('01 Setup'!$B$31),'01 Setup'!$B$31&gt;=C46),('01 Setup'!$B$31-C46)*'01 Setup'!$B$22,"")</x:f>
      </x:c>
      <x:c r="O46" s="3"/>
      <x:c r="P46" s="3"/>
      <x:c r="Q46" s="3"/>
      <x:c r="R46" s="3"/>
    </x:row>
    <x:row r="47" ht="34" customHeight="1">
      <x:c r="A47" s="46"/>
      <x:c r="B47" s="46"/>
      <x:c r="C47" s="80"/>
      <x:c r="D47" s="80"/>
      <x:c r="E47" s="46"/>
      <x:c r="F47" s="46"/>
      <x:c r="G47" s="46"/>
      <x:c r="H47" s="46"/>
      <x:c r="I47" s="86" t="str">
        <x:f>IF(A47="","",IF(AND(COUNT(C47:D47)=2,D47&gt;=C47),(D47-C47)*'01 Setup'!$B$22,""))</x:f>
      </x:c>
      <x:c r="J47" s="83" t="str">
        <x:f>IF(AND(ISNUMBER(I47),ISNUMBER('01 Setup'!$B$11),'01 Setup'!$B$11&gt;0),IF(I47&lt;='01 Setup'!$B$11,"Yes","No"),"")</x:f>
      </x:c>
      <x:c r="K47" s="83" t="str">
        <x:f>IF(A47="",IF(COUNTA(B47:H47)&gt;0,"Missing case ID",""),IF(COUNTIF($A$10:$A$99,A47)&gt;1,"Duplicate ID",IF(OR(B47="",G47="",H47=""),"Complete phase/eligibility/stop",IF(OR(NOT(OR(G47="Yes",G47="No")),NOT(OR(H47="Yes",H47="No"))),"Invalid eligibility/stop",IF(NOT(ISNUMBER(C47)),"Missing receipt",IF(D47="","Open",IF(NOT(ISNUMBER(D47)),"Invalid delivery",IF(D47&lt;C47,"Delivery before receipt",IF(OR(E47="",F47=""),"Complete quality/route",IF(OR(NOT(OR(E47="Yes",E47="No")),NOT(OR(F47="Standard",F47="Assisted",F47="Other"))),"Invalid quality/route","Valid"))))))))))</x:f>
      </x:c>
      <x:c r="L47" s="86" t="str">
        <x:f>IF(AND('01 Setup'!$B$10&lt;&gt;"",B47='01 Setup'!$B$10,G47="Yes",K47="Valid"),I47,"")</x:f>
      </x:c>
      <x:c r="M47" s="86" t="str">
        <x:f>IF(A47="","",IF(AND('01 Setup'!$B$10&lt;&gt;"",B47='01 Setup'!$B$10,G47="Yes",K47="Valid"),1,0))</x:f>
      </x:c>
      <x:c r="N47" s="86" t="str">
        <x:f>IF(AND(A47&lt;&gt;"",D47="",ISNUMBER(C47),ISNUMBER('01 Setup'!$B$31),'01 Setup'!$B$31&gt;=C47),('01 Setup'!$B$31-C47)*'01 Setup'!$B$22,"")</x:f>
      </x:c>
      <x:c r="O47" s="3"/>
      <x:c r="P47" s="3"/>
      <x:c r="Q47" s="3"/>
      <x:c r="R47" s="3"/>
    </x:row>
    <x:row r="48" ht="34" customHeight="1">
      <x:c r="A48" s="46"/>
      <x:c r="B48" s="46"/>
      <x:c r="C48" s="80"/>
      <x:c r="D48" s="80"/>
      <x:c r="E48" s="46"/>
      <x:c r="F48" s="46"/>
      <x:c r="G48" s="46"/>
      <x:c r="H48" s="46"/>
      <x:c r="I48" s="86" t="str">
        <x:f>IF(A48="","",IF(AND(COUNT(C48:D48)=2,D48&gt;=C48),(D48-C48)*'01 Setup'!$B$22,""))</x:f>
      </x:c>
      <x:c r="J48" s="83" t="str">
        <x:f>IF(AND(ISNUMBER(I48),ISNUMBER('01 Setup'!$B$11),'01 Setup'!$B$11&gt;0),IF(I48&lt;='01 Setup'!$B$11,"Yes","No"),"")</x:f>
      </x:c>
      <x:c r="K48" s="83" t="str">
        <x:f>IF(A48="",IF(COUNTA(B48:H48)&gt;0,"Missing case ID",""),IF(COUNTIF($A$10:$A$99,A48)&gt;1,"Duplicate ID",IF(OR(B48="",G48="",H48=""),"Complete phase/eligibility/stop",IF(OR(NOT(OR(G48="Yes",G48="No")),NOT(OR(H48="Yes",H48="No"))),"Invalid eligibility/stop",IF(NOT(ISNUMBER(C48)),"Missing receipt",IF(D48="","Open",IF(NOT(ISNUMBER(D48)),"Invalid delivery",IF(D48&lt;C48,"Delivery before receipt",IF(OR(E48="",F48=""),"Complete quality/route",IF(OR(NOT(OR(E48="Yes",E48="No")),NOT(OR(F48="Standard",F48="Assisted",F48="Other"))),"Invalid quality/route","Valid"))))))))))</x:f>
      </x:c>
      <x:c r="L48" s="86" t="str">
        <x:f>IF(AND('01 Setup'!$B$10&lt;&gt;"",B48='01 Setup'!$B$10,G48="Yes",K48="Valid"),I48,"")</x:f>
      </x:c>
      <x:c r="M48" s="86" t="str">
        <x:f>IF(A48="","",IF(AND('01 Setup'!$B$10&lt;&gt;"",B48='01 Setup'!$B$10,G48="Yes",K48="Valid"),1,0))</x:f>
      </x:c>
      <x:c r="N48" s="86" t="str">
        <x:f>IF(AND(A48&lt;&gt;"",D48="",ISNUMBER(C48),ISNUMBER('01 Setup'!$B$31),'01 Setup'!$B$31&gt;=C48),('01 Setup'!$B$31-C48)*'01 Setup'!$B$22,"")</x:f>
      </x:c>
      <x:c r="O48" s="3"/>
      <x:c r="P48" s="3"/>
      <x:c r="Q48" s="3"/>
      <x:c r="R48" s="3"/>
    </x:row>
    <x:row r="49" ht="34" customHeight="1">
      <x:c r="A49" s="46"/>
      <x:c r="B49" s="46"/>
      <x:c r="C49" s="80"/>
      <x:c r="D49" s="80"/>
      <x:c r="E49" s="46"/>
      <x:c r="F49" s="46"/>
      <x:c r="G49" s="46"/>
      <x:c r="H49" s="46"/>
      <x:c r="I49" s="86" t="str">
        <x:f>IF(A49="","",IF(AND(COUNT(C49:D49)=2,D49&gt;=C49),(D49-C49)*'01 Setup'!$B$22,""))</x:f>
      </x:c>
      <x:c r="J49" s="83" t="str">
        <x:f>IF(AND(ISNUMBER(I49),ISNUMBER('01 Setup'!$B$11),'01 Setup'!$B$11&gt;0),IF(I49&lt;='01 Setup'!$B$11,"Yes","No"),"")</x:f>
      </x:c>
      <x:c r="K49" s="83" t="str">
        <x:f>IF(A49="",IF(COUNTA(B49:H49)&gt;0,"Missing case ID",""),IF(COUNTIF($A$10:$A$99,A49)&gt;1,"Duplicate ID",IF(OR(B49="",G49="",H49=""),"Complete phase/eligibility/stop",IF(OR(NOT(OR(G49="Yes",G49="No")),NOT(OR(H49="Yes",H49="No"))),"Invalid eligibility/stop",IF(NOT(ISNUMBER(C49)),"Missing receipt",IF(D49="","Open",IF(NOT(ISNUMBER(D49)),"Invalid delivery",IF(D49&lt;C49,"Delivery before receipt",IF(OR(E49="",F49=""),"Complete quality/route",IF(OR(NOT(OR(E49="Yes",E49="No")),NOT(OR(F49="Standard",F49="Assisted",F49="Other"))),"Invalid quality/route","Valid"))))))))))</x:f>
      </x:c>
      <x:c r="L49" s="86" t="str">
        <x:f>IF(AND('01 Setup'!$B$10&lt;&gt;"",B49='01 Setup'!$B$10,G49="Yes",K49="Valid"),I49,"")</x:f>
      </x:c>
      <x:c r="M49" s="86" t="str">
        <x:f>IF(A49="","",IF(AND('01 Setup'!$B$10&lt;&gt;"",B49='01 Setup'!$B$10,G49="Yes",K49="Valid"),1,0))</x:f>
      </x:c>
      <x:c r="N49" s="86" t="str">
        <x:f>IF(AND(A49&lt;&gt;"",D49="",ISNUMBER(C49),ISNUMBER('01 Setup'!$B$31),'01 Setup'!$B$31&gt;=C49),('01 Setup'!$B$31-C49)*'01 Setup'!$B$22,"")</x:f>
      </x:c>
      <x:c r="O49" s="3"/>
      <x:c r="P49" s="3"/>
      <x:c r="Q49" s="3"/>
      <x:c r="R49" s="3"/>
    </x:row>
    <x:row r="50" ht="34" customHeight="1">
      <x:c r="A50" s="46"/>
      <x:c r="B50" s="46"/>
      <x:c r="C50" s="80"/>
      <x:c r="D50" s="80"/>
      <x:c r="E50" s="46"/>
      <x:c r="F50" s="46"/>
      <x:c r="G50" s="46"/>
      <x:c r="H50" s="46"/>
      <x:c r="I50" s="86" t="str">
        <x:f>IF(A50="","",IF(AND(COUNT(C50:D50)=2,D50&gt;=C50),(D50-C50)*'01 Setup'!$B$22,""))</x:f>
      </x:c>
      <x:c r="J50" s="83" t="str">
        <x:f>IF(AND(ISNUMBER(I50),ISNUMBER('01 Setup'!$B$11),'01 Setup'!$B$11&gt;0),IF(I50&lt;='01 Setup'!$B$11,"Yes","No"),"")</x:f>
      </x:c>
      <x:c r="K50" s="83" t="str">
        <x:f>IF(A50="",IF(COUNTA(B50:H50)&gt;0,"Missing case ID",""),IF(COUNTIF($A$10:$A$99,A50)&gt;1,"Duplicate ID",IF(OR(B50="",G50="",H50=""),"Complete phase/eligibility/stop",IF(OR(NOT(OR(G50="Yes",G50="No")),NOT(OR(H50="Yes",H50="No"))),"Invalid eligibility/stop",IF(NOT(ISNUMBER(C50)),"Missing receipt",IF(D50="","Open",IF(NOT(ISNUMBER(D50)),"Invalid delivery",IF(D50&lt;C50,"Delivery before receipt",IF(OR(E50="",F50=""),"Complete quality/route",IF(OR(NOT(OR(E50="Yes",E50="No")),NOT(OR(F50="Standard",F50="Assisted",F50="Other"))),"Invalid quality/route","Valid"))))))))))</x:f>
      </x:c>
      <x:c r="L50" s="86" t="str">
        <x:f>IF(AND('01 Setup'!$B$10&lt;&gt;"",B50='01 Setup'!$B$10,G50="Yes",K50="Valid"),I50,"")</x:f>
      </x:c>
      <x:c r="M50" s="86" t="str">
        <x:f>IF(A50="","",IF(AND('01 Setup'!$B$10&lt;&gt;"",B50='01 Setup'!$B$10,G50="Yes",K50="Valid"),1,0))</x:f>
      </x:c>
      <x:c r="N50" s="86" t="str">
        <x:f>IF(AND(A50&lt;&gt;"",D50="",ISNUMBER(C50),ISNUMBER('01 Setup'!$B$31),'01 Setup'!$B$31&gt;=C50),('01 Setup'!$B$31-C50)*'01 Setup'!$B$22,"")</x:f>
      </x:c>
      <x:c r="O50" s="3"/>
      <x:c r="P50" s="3"/>
      <x:c r="Q50" s="3"/>
      <x:c r="R50" s="3"/>
    </x:row>
    <x:row r="51" ht="34" customHeight="1">
      <x:c r="A51" s="46"/>
      <x:c r="B51" s="46"/>
      <x:c r="C51" s="80"/>
      <x:c r="D51" s="80"/>
      <x:c r="E51" s="46"/>
      <x:c r="F51" s="46"/>
      <x:c r="G51" s="46"/>
      <x:c r="H51" s="46"/>
      <x:c r="I51" s="86" t="str">
        <x:f>IF(A51="","",IF(AND(COUNT(C51:D51)=2,D51&gt;=C51),(D51-C51)*'01 Setup'!$B$22,""))</x:f>
      </x:c>
      <x:c r="J51" s="83" t="str">
        <x:f>IF(AND(ISNUMBER(I51),ISNUMBER('01 Setup'!$B$11),'01 Setup'!$B$11&gt;0),IF(I51&lt;='01 Setup'!$B$11,"Yes","No"),"")</x:f>
      </x:c>
      <x:c r="K51" s="83" t="str">
        <x:f>IF(A51="",IF(COUNTA(B51:H51)&gt;0,"Missing case ID",""),IF(COUNTIF($A$10:$A$99,A51)&gt;1,"Duplicate ID",IF(OR(B51="",G51="",H51=""),"Complete phase/eligibility/stop",IF(OR(NOT(OR(G51="Yes",G51="No")),NOT(OR(H51="Yes",H51="No"))),"Invalid eligibility/stop",IF(NOT(ISNUMBER(C51)),"Missing receipt",IF(D51="","Open",IF(NOT(ISNUMBER(D51)),"Invalid delivery",IF(D51&lt;C51,"Delivery before receipt",IF(OR(E51="",F51=""),"Complete quality/route",IF(OR(NOT(OR(E51="Yes",E51="No")),NOT(OR(F51="Standard",F51="Assisted",F51="Other"))),"Invalid quality/route","Valid"))))))))))</x:f>
      </x:c>
      <x:c r="L51" s="86" t="str">
        <x:f>IF(AND('01 Setup'!$B$10&lt;&gt;"",B51='01 Setup'!$B$10,G51="Yes",K51="Valid"),I51,"")</x:f>
      </x:c>
      <x:c r="M51" s="86" t="str">
        <x:f>IF(A51="","",IF(AND('01 Setup'!$B$10&lt;&gt;"",B51='01 Setup'!$B$10,G51="Yes",K51="Valid"),1,0))</x:f>
      </x:c>
      <x:c r="N51" s="86" t="str">
        <x:f>IF(AND(A51&lt;&gt;"",D51="",ISNUMBER(C51),ISNUMBER('01 Setup'!$B$31),'01 Setup'!$B$31&gt;=C51),('01 Setup'!$B$31-C51)*'01 Setup'!$B$22,"")</x:f>
      </x:c>
      <x:c r="O51" s="3"/>
      <x:c r="P51" s="3"/>
      <x:c r="Q51" s="3"/>
      <x:c r="R51" s="3"/>
    </x:row>
    <x:row r="52" ht="34" customHeight="1">
      <x:c r="A52" s="46"/>
      <x:c r="B52" s="46"/>
      <x:c r="C52" s="80"/>
      <x:c r="D52" s="80"/>
      <x:c r="E52" s="46"/>
      <x:c r="F52" s="46"/>
      <x:c r="G52" s="46"/>
      <x:c r="H52" s="46"/>
      <x:c r="I52" s="86" t="str">
        <x:f>IF(A52="","",IF(AND(COUNT(C52:D52)=2,D52&gt;=C52),(D52-C52)*'01 Setup'!$B$22,""))</x:f>
      </x:c>
      <x:c r="J52" s="83" t="str">
        <x:f>IF(AND(ISNUMBER(I52),ISNUMBER('01 Setup'!$B$11),'01 Setup'!$B$11&gt;0),IF(I52&lt;='01 Setup'!$B$11,"Yes","No"),"")</x:f>
      </x:c>
      <x:c r="K52" s="83" t="str">
        <x:f>IF(A52="",IF(COUNTA(B52:H52)&gt;0,"Missing case ID",""),IF(COUNTIF($A$10:$A$99,A52)&gt;1,"Duplicate ID",IF(OR(B52="",G52="",H52=""),"Complete phase/eligibility/stop",IF(OR(NOT(OR(G52="Yes",G52="No")),NOT(OR(H52="Yes",H52="No"))),"Invalid eligibility/stop",IF(NOT(ISNUMBER(C52)),"Missing receipt",IF(D52="","Open",IF(NOT(ISNUMBER(D52)),"Invalid delivery",IF(D52&lt;C52,"Delivery before receipt",IF(OR(E52="",F52=""),"Complete quality/route",IF(OR(NOT(OR(E52="Yes",E52="No")),NOT(OR(F52="Standard",F52="Assisted",F52="Other"))),"Invalid quality/route","Valid"))))))))))</x:f>
      </x:c>
      <x:c r="L52" s="86" t="str">
        <x:f>IF(AND('01 Setup'!$B$10&lt;&gt;"",B52='01 Setup'!$B$10,G52="Yes",K52="Valid"),I52,"")</x:f>
      </x:c>
      <x:c r="M52" s="86" t="str">
        <x:f>IF(A52="","",IF(AND('01 Setup'!$B$10&lt;&gt;"",B52='01 Setup'!$B$10,G52="Yes",K52="Valid"),1,0))</x:f>
      </x:c>
      <x:c r="N52" s="86" t="str">
        <x:f>IF(AND(A52&lt;&gt;"",D52="",ISNUMBER(C52),ISNUMBER('01 Setup'!$B$31),'01 Setup'!$B$31&gt;=C52),('01 Setup'!$B$31-C52)*'01 Setup'!$B$22,"")</x:f>
      </x:c>
      <x:c r="O52" s="3"/>
      <x:c r="P52" s="3"/>
      <x:c r="Q52" s="3"/>
      <x:c r="R52" s="3"/>
    </x:row>
    <x:row r="53" ht="34" customHeight="1">
      <x:c r="A53" s="46"/>
      <x:c r="B53" s="46"/>
      <x:c r="C53" s="80"/>
      <x:c r="D53" s="80"/>
      <x:c r="E53" s="46"/>
      <x:c r="F53" s="46"/>
      <x:c r="G53" s="46"/>
      <x:c r="H53" s="46"/>
      <x:c r="I53" s="86" t="str">
        <x:f>IF(A53="","",IF(AND(COUNT(C53:D53)=2,D53&gt;=C53),(D53-C53)*'01 Setup'!$B$22,""))</x:f>
      </x:c>
      <x:c r="J53" s="83" t="str">
        <x:f>IF(AND(ISNUMBER(I53),ISNUMBER('01 Setup'!$B$11),'01 Setup'!$B$11&gt;0),IF(I53&lt;='01 Setup'!$B$11,"Yes","No"),"")</x:f>
      </x:c>
      <x:c r="K53" s="83" t="str">
        <x:f>IF(A53="",IF(COUNTA(B53:H53)&gt;0,"Missing case ID",""),IF(COUNTIF($A$10:$A$99,A53)&gt;1,"Duplicate ID",IF(OR(B53="",G53="",H53=""),"Complete phase/eligibility/stop",IF(OR(NOT(OR(G53="Yes",G53="No")),NOT(OR(H53="Yes",H53="No"))),"Invalid eligibility/stop",IF(NOT(ISNUMBER(C53)),"Missing receipt",IF(D53="","Open",IF(NOT(ISNUMBER(D53)),"Invalid delivery",IF(D53&lt;C53,"Delivery before receipt",IF(OR(E53="",F53=""),"Complete quality/route",IF(OR(NOT(OR(E53="Yes",E53="No")),NOT(OR(F53="Standard",F53="Assisted",F53="Other"))),"Invalid quality/route","Valid"))))))))))</x:f>
      </x:c>
      <x:c r="L53" s="86" t="str">
        <x:f>IF(AND('01 Setup'!$B$10&lt;&gt;"",B53='01 Setup'!$B$10,G53="Yes",K53="Valid"),I53,"")</x:f>
      </x:c>
      <x:c r="M53" s="86" t="str">
        <x:f>IF(A53="","",IF(AND('01 Setup'!$B$10&lt;&gt;"",B53='01 Setup'!$B$10,G53="Yes",K53="Valid"),1,0))</x:f>
      </x:c>
      <x:c r="N53" s="86" t="str">
        <x:f>IF(AND(A53&lt;&gt;"",D53="",ISNUMBER(C53),ISNUMBER('01 Setup'!$B$31),'01 Setup'!$B$31&gt;=C53),('01 Setup'!$B$31-C53)*'01 Setup'!$B$22,"")</x:f>
      </x:c>
      <x:c r="O53" s="3"/>
      <x:c r="P53" s="3"/>
      <x:c r="Q53" s="3"/>
      <x:c r="R53" s="3"/>
    </x:row>
    <x:row r="54" ht="34" customHeight="1">
      <x:c r="A54" s="46"/>
      <x:c r="B54" s="46"/>
      <x:c r="C54" s="80"/>
      <x:c r="D54" s="80"/>
      <x:c r="E54" s="46"/>
      <x:c r="F54" s="46"/>
      <x:c r="G54" s="46"/>
      <x:c r="H54" s="46"/>
      <x:c r="I54" s="86" t="str">
        <x:f>IF(A54="","",IF(AND(COUNT(C54:D54)=2,D54&gt;=C54),(D54-C54)*'01 Setup'!$B$22,""))</x:f>
      </x:c>
      <x:c r="J54" s="83" t="str">
        <x:f>IF(AND(ISNUMBER(I54),ISNUMBER('01 Setup'!$B$11),'01 Setup'!$B$11&gt;0),IF(I54&lt;='01 Setup'!$B$11,"Yes","No"),"")</x:f>
      </x:c>
      <x:c r="K54" s="83" t="str">
        <x:f>IF(A54="",IF(COUNTA(B54:H54)&gt;0,"Missing case ID",""),IF(COUNTIF($A$10:$A$99,A54)&gt;1,"Duplicate ID",IF(OR(B54="",G54="",H54=""),"Complete phase/eligibility/stop",IF(OR(NOT(OR(G54="Yes",G54="No")),NOT(OR(H54="Yes",H54="No"))),"Invalid eligibility/stop",IF(NOT(ISNUMBER(C54)),"Missing receipt",IF(D54="","Open",IF(NOT(ISNUMBER(D54)),"Invalid delivery",IF(D54&lt;C54,"Delivery before receipt",IF(OR(E54="",F54=""),"Complete quality/route",IF(OR(NOT(OR(E54="Yes",E54="No")),NOT(OR(F54="Standard",F54="Assisted",F54="Other"))),"Invalid quality/route","Valid"))))))))))</x:f>
      </x:c>
      <x:c r="L54" s="86" t="str">
        <x:f>IF(AND('01 Setup'!$B$10&lt;&gt;"",B54='01 Setup'!$B$10,G54="Yes",K54="Valid"),I54,"")</x:f>
      </x:c>
      <x:c r="M54" s="86" t="str">
        <x:f>IF(A54="","",IF(AND('01 Setup'!$B$10&lt;&gt;"",B54='01 Setup'!$B$10,G54="Yes",K54="Valid"),1,0))</x:f>
      </x:c>
      <x:c r="N54" s="86" t="str">
        <x:f>IF(AND(A54&lt;&gt;"",D54="",ISNUMBER(C54),ISNUMBER('01 Setup'!$B$31),'01 Setup'!$B$31&gt;=C54),('01 Setup'!$B$31-C54)*'01 Setup'!$B$22,"")</x:f>
      </x:c>
      <x:c r="O54" s="3"/>
      <x:c r="P54" s="3"/>
      <x:c r="Q54" s="3"/>
      <x:c r="R54" s="3"/>
    </x:row>
    <x:row r="55" ht="34" customHeight="1">
      <x:c r="A55" s="46"/>
      <x:c r="B55" s="46"/>
      <x:c r="C55" s="80"/>
      <x:c r="D55" s="80"/>
      <x:c r="E55" s="46"/>
      <x:c r="F55" s="46"/>
      <x:c r="G55" s="46"/>
      <x:c r="H55" s="46"/>
      <x:c r="I55" s="86" t="str">
        <x:f>IF(A55="","",IF(AND(COUNT(C55:D55)=2,D55&gt;=C55),(D55-C55)*'01 Setup'!$B$22,""))</x:f>
      </x:c>
      <x:c r="J55" s="83" t="str">
        <x:f>IF(AND(ISNUMBER(I55),ISNUMBER('01 Setup'!$B$11),'01 Setup'!$B$11&gt;0),IF(I55&lt;='01 Setup'!$B$11,"Yes","No"),"")</x:f>
      </x:c>
      <x:c r="K55" s="83" t="str">
        <x:f>IF(A55="",IF(COUNTA(B55:H55)&gt;0,"Missing case ID",""),IF(COUNTIF($A$10:$A$99,A55)&gt;1,"Duplicate ID",IF(OR(B55="",G55="",H55=""),"Complete phase/eligibility/stop",IF(OR(NOT(OR(G55="Yes",G55="No")),NOT(OR(H55="Yes",H55="No"))),"Invalid eligibility/stop",IF(NOT(ISNUMBER(C55)),"Missing receipt",IF(D55="","Open",IF(NOT(ISNUMBER(D55)),"Invalid delivery",IF(D55&lt;C55,"Delivery before receipt",IF(OR(E55="",F55=""),"Complete quality/route",IF(OR(NOT(OR(E55="Yes",E55="No")),NOT(OR(F55="Standard",F55="Assisted",F55="Other"))),"Invalid quality/route","Valid"))))))))))</x:f>
      </x:c>
      <x:c r="L55" s="86" t="str">
        <x:f>IF(AND('01 Setup'!$B$10&lt;&gt;"",B55='01 Setup'!$B$10,G55="Yes",K55="Valid"),I55,"")</x:f>
      </x:c>
      <x:c r="M55" s="86" t="str">
        <x:f>IF(A55="","",IF(AND('01 Setup'!$B$10&lt;&gt;"",B55='01 Setup'!$B$10,G55="Yes",K55="Valid"),1,0))</x:f>
      </x:c>
      <x:c r="N55" s="86" t="str">
        <x:f>IF(AND(A55&lt;&gt;"",D55="",ISNUMBER(C55),ISNUMBER('01 Setup'!$B$31),'01 Setup'!$B$31&gt;=C55),('01 Setup'!$B$31-C55)*'01 Setup'!$B$22,"")</x:f>
      </x:c>
      <x:c r="O55" s="3"/>
      <x:c r="P55" s="3"/>
      <x:c r="Q55" s="3"/>
      <x:c r="R55" s="3"/>
    </x:row>
    <x:row r="56" ht="34" customHeight="1">
      <x:c r="A56" s="46"/>
      <x:c r="B56" s="46"/>
      <x:c r="C56" s="80"/>
      <x:c r="D56" s="80"/>
      <x:c r="E56" s="46"/>
      <x:c r="F56" s="46"/>
      <x:c r="G56" s="46"/>
      <x:c r="H56" s="46"/>
      <x:c r="I56" s="86" t="str">
        <x:f>IF(A56="","",IF(AND(COUNT(C56:D56)=2,D56&gt;=C56),(D56-C56)*'01 Setup'!$B$22,""))</x:f>
      </x:c>
      <x:c r="J56" s="83" t="str">
        <x:f>IF(AND(ISNUMBER(I56),ISNUMBER('01 Setup'!$B$11),'01 Setup'!$B$11&gt;0),IF(I56&lt;='01 Setup'!$B$11,"Yes","No"),"")</x:f>
      </x:c>
      <x:c r="K56" s="83" t="str">
        <x:f>IF(A56="",IF(COUNTA(B56:H56)&gt;0,"Missing case ID",""),IF(COUNTIF($A$10:$A$99,A56)&gt;1,"Duplicate ID",IF(OR(B56="",G56="",H56=""),"Complete phase/eligibility/stop",IF(OR(NOT(OR(G56="Yes",G56="No")),NOT(OR(H56="Yes",H56="No"))),"Invalid eligibility/stop",IF(NOT(ISNUMBER(C56)),"Missing receipt",IF(D56="","Open",IF(NOT(ISNUMBER(D56)),"Invalid delivery",IF(D56&lt;C56,"Delivery before receipt",IF(OR(E56="",F56=""),"Complete quality/route",IF(OR(NOT(OR(E56="Yes",E56="No")),NOT(OR(F56="Standard",F56="Assisted",F56="Other"))),"Invalid quality/route","Valid"))))))))))</x:f>
      </x:c>
      <x:c r="L56" s="86" t="str">
        <x:f>IF(AND('01 Setup'!$B$10&lt;&gt;"",B56='01 Setup'!$B$10,G56="Yes",K56="Valid"),I56,"")</x:f>
      </x:c>
      <x:c r="M56" s="86" t="str">
        <x:f>IF(A56="","",IF(AND('01 Setup'!$B$10&lt;&gt;"",B56='01 Setup'!$B$10,G56="Yes",K56="Valid"),1,0))</x:f>
      </x:c>
      <x:c r="N56" s="86" t="str">
        <x:f>IF(AND(A56&lt;&gt;"",D56="",ISNUMBER(C56),ISNUMBER('01 Setup'!$B$31),'01 Setup'!$B$31&gt;=C56),('01 Setup'!$B$31-C56)*'01 Setup'!$B$22,"")</x:f>
      </x:c>
      <x:c r="O56" s="3"/>
      <x:c r="P56" s="3"/>
      <x:c r="Q56" s="3"/>
      <x:c r="R56" s="3"/>
    </x:row>
    <x:row r="57" ht="34" customHeight="1">
      <x:c r="A57" s="46"/>
      <x:c r="B57" s="46"/>
      <x:c r="C57" s="80"/>
      <x:c r="D57" s="80"/>
      <x:c r="E57" s="46"/>
      <x:c r="F57" s="46"/>
      <x:c r="G57" s="46"/>
      <x:c r="H57" s="46"/>
      <x:c r="I57" s="86" t="str">
        <x:f>IF(A57="","",IF(AND(COUNT(C57:D57)=2,D57&gt;=C57),(D57-C57)*'01 Setup'!$B$22,""))</x:f>
      </x:c>
      <x:c r="J57" s="83" t="str">
        <x:f>IF(AND(ISNUMBER(I57),ISNUMBER('01 Setup'!$B$11),'01 Setup'!$B$11&gt;0),IF(I57&lt;='01 Setup'!$B$11,"Yes","No"),"")</x:f>
      </x:c>
      <x:c r="K57" s="83" t="str">
        <x:f>IF(A57="",IF(COUNTA(B57:H57)&gt;0,"Missing case ID",""),IF(COUNTIF($A$10:$A$99,A57)&gt;1,"Duplicate ID",IF(OR(B57="",G57="",H57=""),"Complete phase/eligibility/stop",IF(OR(NOT(OR(G57="Yes",G57="No")),NOT(OR(H57="Yes",H57="No"))),"Invalid eligibility/stop",IF(NOT(ISNUMBER(C57)),"Missing receipt",IF(D57="","Open",IF(NOT(ISNUMBER(D57)),"Invalid delivery",IF(D57&lt;C57,"Delivery before receipt",IF(OR(E57="",F57=""),"Complete quality/route",IF(OR(NOT(OR(E57="Yes",E57="No")),NOT(OR(F57="Standard",F57="Assisted",F57="Other"))),"Invalid quality/route","Valid"))))))))))</x:f>
      </x:c>
      <x:c r="L57" s="86" t="str">
        <x:f>IF(AND('01 Setup'!$B$10&lt;&gt;"",B57='01 Setup'!$B$10,G57="Yes",K57="Valid"),I57,"")</x:f>
      </x:c>
      <x:c r="M57" s="86" t="str">
        <x:f>IF(A57="","",IF(AND('01 Setup'!$B$10&lt;&gt;"",B57='01 Setup'!$B$10,G57="Yes",K57="Valid"),1,0))</x:f>
      </x:c>
      <x:c r="N57" s="86" t="str">
        <x:f>IF(AND(A57&lt;&gt;"",D57="",ISNUMBER(C57),ISNUMBER('01 Setup'!$B$31),'01 Setup'!$B$31&gt;=C57),('01 Setup'!$B$31-C57)*'01 Setup'!$B$22,"")</x:f>
      </x:c>
      <x:c r="O57" s="3"/>
      <x:c r="P57" s="3"/>
      <x:c r="Q57" s="3"/>
      <x:c r="R57" s="3"/>
    </x:row>
    <x:row r="58" ht="34" customHeight="1">
      <x:c r="A58" s="46"/>
      <x:c r="B58" s="46"/>
      <x:c r="C58" s="80"/>
      <x:c r="D58" s="80"/>
      <x:c r="E58" s="46"/>
      <x:c r="F58" s="46"/>
      <x:c r="G58" s="46"/>
      <x:c r="H58" s="46"/>
      <x:c r="I58" s="86" t="str">
        <x:f>IF(A58="","",IF(AND(COUNT(C58:D58)=2,D58&gt;=C58),(D58-C58)*'01 Setup'!$B$22,""))</x:f>
      </x:c>
      <x:c r="J58" s="83" t="str">
        <x:f>IF(AND(ISNUMBER(I58),ISNUMBER('01 Setup'!$B$11),'01 Setup'!$B$11&gt;0),IF(I58&lt;='01 Setup'!$B$11,"Yes","No"),"")</x:f>
      </x:c>
      <x:c r="K58" s="83" t="str">
        <x:f>IF(A58="",IF(COUNTA(B58:H58)&gt;0,"Missing case ID",""),IF(COUNTIF($A$10:$A$99,A58)&gt;1,"Duplicate ID",IF(OR(B58="",G58="",H58=""),"Complete phase/eligibility/stop",IF(OR(NOT(OR(G58="Yes",G58="No")),NOT(OR(H58="Yes",H58="No"))),"Invalid eligibility/stop",IF(NOT(ISNUMBER(C58)),"Missing receipt",IF(D58="","Open",IF(NOT(ISNUMBER(D58)),"Invalid delivery",IF(D58&lt;C58,"Delivery before receipt",IF(OR(E58="",F58=""),"Complete quality/route",IF(OR(NOT(OR(E58="Yes",E58="No")),NOT(OR(F58="Standard",F58="Assisted",F58="Other"))),"Invalid quality/route","Valid"))))))))))</x:f>
      </x:c>
      <x:c r="L58" s="86" t="str">
        <x:f>IF(AND('01 Setup'!$B$10&lt;&gt;"",B58='01 Setup'!$B$10,G58="Yes",K58="Valid"),I58,"")</x:f>
      </x:c>
      <x:c r="M58" s="86" t="str">
        <x:f>IF(A58="","",IF(AND('01 Setup'!$B$10&lt;&gt;"",B58='01 Setup'!$B$10,G58="Yes",K58="Valid"),1,0))</x:f>
      </x:c>
      <x:c r="N58" s="86" t="str">
        <x:f>IF(AND(A58&lt;&gt;"",D58="",ISNUMBER(C58),ISNUMBER('01 Setup'!$B$31),'01 Setup'!$B$31&gt;=C58),('01 Setup'!$B$31-C58)*'01 Setup'!$B$22,"")</x:f>
      </x:c>
      <x:c r="O58" s="3"/>
      <x:c r="P58" s="3"/>
      <x:c r="Q58" s="3"/>
      <x:c r="R58" s="3"/>
    </x:row>
    <x:row r="59" ht="34" customHeight="1">
      <x:c r="A59" s="46"/>
      <x:c r="B59" s="46"/>
      <x:c r="C59" s="80"/>
      <x:c r="D59" s="80"/>
      <x:c r="E59" s="46"/>
      <x:c r="F59" s="46"/>
      <x:c r="G59" s="46"/>
      <x:c r="H59" s="46"/>
      <x:c r="I59" s="86" t="str">
        <x:f>IF(A59="","",IF(AND(COUNT(C59:D59)=2,D59&gt;=C59),(D59-C59)*'01 Setup'!$B$22,""))</x:f>
      </x:c>
      <x:c r="J59" s="83" t="str">
        <x:f>IF(AND(ISNUMBER(I59),ISNUMBER('01 Setup'!$B$11),'01 Setup'!$B$11&gt;0),IF(I59&lt;='01 Setup'!$B$11,"Yes","No"),"")</x:f>
      </x:c>
      <x:c r="K59" s="83" t="str">
        <x:f>IF(A59="",IF(COUNTA(B59:H59)&gt;0,"Missing case ID",""),IF(COUNTIF($A$10:$A$99,A59)&gt;1,"Duplicate ID",IF(OR(B59="",G59="",H59=""),"Complete phase/eligibility/stop",IF(OR(NOT(OR(G59="Yes",G59="No")),NOT(OR(H59="Yes",H59="No"))),"Invalid eligibility/stop",IF(NOT(ISNUMBER(C59)),"Missing receipt",IF(D59="","Open",IF(NOT(ISNUMBER(D59)),"Invalid delivery",IF(D59&lt;C59,"Delivery before receipt",IF(OR(E59="",F59=""),"Complete quality/route",IF(OR(NOT(OR(E59="Yes",E59="No")),NOT(OR(F59="Standard",F59="Assisted",F59="Other"))),"Invalid quality/route","Valid"))))))))))</x:f>
      </x:c>
      <x:c r="L59" s="86" t="str">
        <x:f>IF(AND('01 Setup'!$B$10&lt;&gt;"",B59='01 Setup'!$B$10,G59="Yes",K59="Valid"),I59,"")</x:f>
      </x:c>
      <x:c r="M59" s="86" t="str">
        <x:f>IF(A59="","",IF(AND('01 Setup'!$B$10&lt;&gt;"",B59='01 Setup'!$B$10,G59="Yes",K59="Valid"),1,0))</x:f>
      </x:c>
      <x:c r="N59" s="86" t="str">
        <x:f>IF(AND(A59&lt;&gt;"",D59="",ISNUMBER(C59),ISNUMBER('01 Setup'!$B$31),'01 Setup'!$B$31&gt;=C59),('01 Setup'!$B$31-C59)*'01 Setup'!$B$22,"")</x:f>
      </x:c>
      <x:c r="O59" s="3"/>
      <x:c r="P59" s="3"/>
      <x:c r="Q59" s="3"/>
      <x:c r="R59" s="3"/>
    </x:row>
    <x:row r="60" ht="34" customHeight="1">
      <x:c r="A60" s="46"/>
      <x:c r="B60" s="46"/>
      <x:c r="C60" s="80"/>
      <x:c r="D60" s="80"/>
      <x:c r="E60" s="46"/>
      <x:c r="F60" s="46"/>
      <x:c r="G60" s="46"/>
      <x:c r="H60" s="46"/>
      <x:c r="I60" s="86" t="str">
        <x:f>IF(A60="","",IF(AND(COUNT(C60:D60)=2,D60&gt;=C60),(D60-C60)*'01 Setup'!$B$22,""))</x:f>
      </x:c>
      <x:c r="J60" s="83" t="str">
        <x:f>IF(AND(ISNUMBER(I60),ISNUMBER('01 Setup'!$B$11),'01 Setup'!$B$11&gt;0),IF(I60&lt;='01 Setup'!$B$11,"Yes","No"),"")</x:f>
      </x:c>
      <x:c r="K60" s="83" t="str">
        <x:f>IF(A60="",IF(COUNTA(B60:H60)&gt;0,"Missing case ID",""),IF(COUNTIF($A$10:$A$99,A60)&gt;1,"Duplicate ID",IF(OR(B60="",G60="",H60=""),"Complete phase/eligibility/stop",IF(OR(NOT(OR(G60="Yes",G60="No")),NOT(OR(H60="Yes",H60="No"))),"Invalid eligibility/stop",IF(NOT(ISNUMBER(C60)),"Missing receipt",IF(D60="","Open",IF(NOT(ISNUMBER(D60)),"Invalid delivery",IF(D60&lt;C60,"Delivery before receipt",IF(OR(E60="",F60=""),"Complete quality/route",IF(OR(NOT(OR(E60="Yes",E60="No")),NOT(OR(F60="Standard",F60="Assisted",F60="Other"))),"Invalid quality/route","Valid"))))))))))</x:f>
      </x:c>
      <x:c r="L60" s="86" t="str">
        <x:f>IF(AND('01 Setup'!$B$10&lt;&gt;"",B60='01 Setup'!$B$10,G60="Yes",K60="Valid"),I60,"")</x:f>
      </x:c>
      <x:c r="M60" s="86" t="str">
        <x:f>IF(A60="","",IF(AND('01 Setup'!$B$10&lt;&gt;"",B60='01 Setup'!$B$10,G60="Yes",K60="Valid"),1,0))</x:f>
      </x:c>
      <x:c r="N60" s="86" t="str">
        <x:f>IF(AND(A60&lt;&gt;"",D60="",ISNUMBER(C60),ISNUMBER('01 Setup'!$B$31),'01 Setup'!$B$31&gt;=C60),('01 Setup'!$B$31-C60)*'01 Setup'!$B$22,"")</x:f>
      </x:c>
      <x:c r="O60" s="3"/>
      <x:c r="P60" s="3"/>
      <x:c r="Q60" s="3"/>
      <x:c r="R60" s="3"/>
    </x:row>
    <x:row r="61" ht="34" customHeight="1">
      <x:c r="A61" s="46"/>
      <x:c r="B61" s="46"/>
      <x:c r="C61" s="80"/>
      <x:c r="D61" s="80"/>
      <x:c r="E61" s="46"/>
      <x:c r="F61" s="46"/>
      <x:c r="G61" s="46"/>
      <x:c r="H61" s="46"/>
      <x:c r="I61" s="86" t="str">
        <x:f>IF(A61="","",IF(AND(COUNT(C61:D61)=2,D61&gt;=C61),(D61-C61)*'01 Setup'!$B$22,""))</x:f>
      </x:c>
      <x:c r="J61" s="83" t="str">
        <x:f>IF(AND(ISNUMBER(I61),ISNUMBER('01 Setup'!$B$11),'01 Setup'!$B$11&gt;0),IF(I61&lt;='01 Setup'!$B$11,"Yes","No"),"")</x:f>
      </x:c>
      <x:c r="K61" s="83" t="str">
        <x:f>IF(A61="",IF(COUNTA(B61:H61)&gt;0,"Missing case ID",""),IF(COUNTIF($A$10:$A$99,A61)&gt;1,"Duplicate ID",IF(OR(B61="",G61="",H61=""),"Complete phase/eligibility/stop",IF(OR(NOT(OR(G61="Yes",G61="No")),NOT(OR(H61="Yes",H61="No"))),"Invalid eligibility/stop",IF(NOT(ISNUMBER(C61)),"Missing receipt",IF(D61="","Open",IF(NOT(ISNUMBER(D61)),"Invalid delivery",IF(D61&lt;C61,"Delivery before receipt",IF(OR(E61="",F61=""),"Complete quality/route",IF(OR(NOT(OR(E61="Yes",E61="No")),NOT(OR(F61="Standard",F61="Assisted",F61="Other"))),"Invalid quality/route","Valid"))))))))))</x:f>
      </x:c>
      <x:c r="L61" s="86" t="str">
        <x:f>IF(AND('01 Setup'!$B$10&lt;&gt;"",B61='01 Setup'!$B$10,G61="Yes",K61="Valid"),I61,"")</x:f>
      </x:c>
      <x:c r="M61" s="86" t="str">
        <x:f>IF(A61="","",IF(AND('01 Setup'!$B$10&lt;&gt;"",B61='01 Setup'!$B$10,G61="Yes",K61="Valid"),1,0))</x:f>
      </x:c>
      <x:c r="N61" s="86" t="str">
        <x:f>IF(AND(A61&lt;&gt;"",D61="",ISNUMBER(C61),ISNUMBER('01 Setup'!$B$31),'01 Setup'!$B$31&gt;=C61),('01 Setup'!$B$31-C61)*'01 Setup'!$B$22,"")</x:f>
      </x:c>
      <x:c r="O61" s="3"/>
      <x:c r="P61" s="3"/>
      <x:c r="Q61" s="3"/>
      <x:c r="R61" s="3"/>
    </x:row>
    <x:row r="62" ht="34" customHeight="1">
      <x:c r="A62" s="46"/>
      <x:c r="B62" s="46"/>
      <x:c r="C62" s="80"/>
      <x:c r="D62" s="80"/>
      <x:c r="E62" s="46"/>
      <x:c r="F62" s="46"/>
      <x:c r="G62" s="46"/>
      <x:c r="H62" s="46"/>
      <x:c r="I62" s="86" t="str">
        <x:f>IF(A62="","",IF(AND(COUNT(C62:D62)=2,D62&gt;=C62),(D62-C62)*'01 Setup'!$B$22,""))</x:f>
      </x:c>
      <x:c r="J62" s="83" t="str">
        <x:f>IF(AND(ISNUMBER(I62),ISNUMBER('01 Setup'!$B$11),'01 Setup'!$B$11&gt;0),IF(I62&lt;='01 Setup'!$B$11,"Yes","No"),"")</x:f>
      </x:c>
      <x:c r="K62" s="83" t="str">
        <x:f>IF(A62="",IF(COUNTA(B62:H62)&gt;0,"Missing case ID",""),IF(COUNTIF($A$10:$A$99,A62)&gt;1,"Duplicate ID",IF(OR(B62="",G62="",H62=""),"Complete phase/eligibility/stop",IF(OR(NOT(OR(G62="Yes",G62="No")),NOT(OR(H62="Yes",H62="No"))),"Invalid eligibility/stop",IF(NOT(ISNUMBER(C62)),"Missing receipt",IF(D62="","Open",IF(NOT(ISNUMBER(D62)),"Invalid delivery",IF(D62&lt;C62,"Delivery before receipt",IF(OR(E62="",F62=""),"Complete quality/route",IF(OR(NOT(OR(E62="Yes",E62="No")),NOT(OR(F62="Standard",F62="Assisted",F62="Other"))),"Invalid quality/route","Valid"))))))))))</x:f>
      </x:c>
      <x:c r="L62" s="86" t="str">
        <x:f>IF(AND('01 Setup'!$B$10&lt;&gt;"",B62='01 Setup'!$B$10,G62="Yes",K62="Valid"),I62,"")</x:f>
      </x:c>
      <x:c r="M62" s="86" t="str">
        <x:f>IF(A62="","",IF(AND('01 Setup'!$B$10&lt;&gt;"",B62='01 Setup'!$B$10,G62="Yes",K62="Valid"),1,0))</x:f>
      </x:c>
      <x:c r="N62" s="86" t="str">
        <x:f>IF(AND(A62&lt;&gt;"",D62="",ISNUMBER(C62),ISNUMBER('01 Setup'!$B$31),'01 Setup'!$B$31&gt;=C62),('01 Setup'!$B$31-C62)*'01 Setup'!$B$22,"")</x:f>
      </x:c>
      <x:c r="O62" s="3"/>
      <x:c r="P62" s="3"/>
      <x:c r="Q62" s="3"/>
      <x:c r="R62" s="3"/>
    </x:row>
    <x:row r="63" ht="34" customHeight="1">
      <x:c r="A63" s="46"/>
      <x:c r="B63" s="46"/>
      <x:c r="C63" s="80"/>
      <x:c r="D63" s="80"/>
      <x:c r="E63" s="46"/>
      <x:c r="F63" s="46"/>
      <x:c r="G63" s="46"/>
      <x:c r="H63" s="46"/>
      <x:c r="I63" s="86" t="str">
        <x:f>IF(A63="","",IF(AND(COUNT(C63:D63)=2,D63&gt;=C63),(D63-C63)*'01 Setup'!$B$22,""))</x:f>
      </x:c>
      <x:c r="J63" s="83" t="str">
        <x:f>IF(AND(ISNUMBER(I63),ISNUMBER('01 Setup'!$B$11),'01 Setup'!$B$11&gt;0),IF(I63&lt;='01 Setup'!$B$11,"Yes","No"),"")</x:f>
      </x:c>
      <x:c r="K63" s="83" t="str">
        <x:f>IF(A63="",IF(COUNTA(B63:H63)&gt;0,"Missing case ID",""),IF(COUNTIF($A$10:$A$99,A63)&gt;1,"Duplicate ID",IF(OR(B63="",G63="",H63=""),"Complete phase/eligibility/stop",IF(OR(NOT(OR(G63="Yes",G63="No")),NOT(OR(H63="Yes",H63="No"))),"Invalid eligibility/stop",IF(NOT(ISNUMBER(C63)),"Missing receipt",IF(D63="","Open",IF(NOT(ISNUMBER(D63)),"Invalid delivery",IF(D63&lt;C63,"Delivery before receipt",IF(OR(E63="",F63=""),"Complete quality/route",IF(OR(NOT(OR(E63="Yes",E63="No")),NOT(OR(F63="Standard",F63="Assisted",F63="Other"))),"Invalid quality/route","Valid"))))))))))</x:f>
      </x:c>
      <x:c r="L63" s="86" t="str">
        <x:f>IF(AND('01 Setup'!$B$10&lt;&gt;"",B63='01 Setup'!$B$10,G63="Yes",K63="Valid"),I63,"")</x:f>
      </x:c>
      <x:c r="M63" s="86" t="str">
        <x:f>IF(A63="","",IF(AND('01 Setup'!$B$10&lt;&gt;"",B63='01 Setup'!$B$10,G63="Yes",K63="Valid"),1,0))</x:f>
      </x:c>
      <x:c r="N63" s="86" t="str">
        <x:f>IF(AND(A63&lt;&gt;"",D63="",ISNUMBER(C63),ISNUMBER('01 Setup'!$B$31),'01 Setup'!$B$31&gt;=C63),('01 Setup'!$B$31-C63)*'01 Setup'!$B$22,"")</x:f>
      </x:c>
      <x:c r="O63" s="3"/>
      <x:c r="P63" s="3"/>
      <x:c r="Q63" s="3"/>
      <x:c r="R63" s="3"/>
    </x:row>
    <x:row r="64" ht="34" customHeight="1">
      <x:c r="A64" s="46"/>
      <x:c r="B64" s="46"/>
      <x:c r="C64" s="80"/>
      <x:c r="D64" s="80"/>
      <x:c r="E64" s="46"/>
      <x:c r="F64" s="46"/>
      <x:c r="G64" s="46"/>
      <x:c r="H64" s="46"/>
      <x:c r="I64" s="86" t="str">
        <x:f>IF(A64="","",IF(AND(COUNT(C64:D64)=2,D64&gt;=C64),(D64-C64)*'01 Setup'!$B$22,""))</x:f>
      </x:c>
      <x:c r="J64" s="83" t="str">
        <x:f>IF(AND(ISNUMBER(I64),ISNUMBER('01 Setup'!$B$11),'01 Setup'!$B$11&gt;0),IF(I64&lt;='01 Setup'!$B$11,"Yes","No"),"")</x:f>
      </x:c>
      <x:c r="K64" s="83" t="str">
        <x:f>IF(A64="",IF(COUNTA(B64:H64)&gt;0,"Missing case ID",""),IF(COUNTIF($A$10:$A$99,A64)&gt;1,"Duplicate ID",IF(OR(B64="",G64="",H64=""),"Complete phase/eligibility/stop",IF(OR(NOT(OR(G64="Yes",G64="No")),NOT(OR(H64="Yes",H64="No"))),"Invalid eligibility/stop",IF(NOT(ISNUMBER(C64)),"Missing receipt",IF(D64="","Open",IF(NOT(ISNUMBER(D64)),"Invalid delivery",IF(D64&lt;C64,"Delivery before receipt",IF(OR(E64="",F64=""),"Complete quality/route",IF(OR(NOT(OR(E64="Yes",E64="No")),NOT(OR(F64="Standard",F64="Assisted",F64="Other"))),"Invalid quality/route","Valid"))))))))))</x:f>
      </x:c>
      <x:c r="L64" s="86" t="str">
        <x:f>IF(AND('01 Setup'!$B$10&lt;&gt;"",B64='01 Setup'!$B$10,G64="Yes",K64="Valid"),I64,"")</x:f>
      </x:c>
      <x:c r="M64" s="86" t="str">
        <x:f>IF(A64="","",IF(AND('01 Setup'!$B$10&lt;&gt;"",B64='01 Setup'!$B$10,G64="Yes",K64="Valid"),1,0))</x:f>
      </x:c>
      <x:c r="N64" s="86" t="str">
        <x:f>IF(AND(A64&lt;&gt;"",D64="",ISNUMBER(C64),ISNUMBER('01 Setup'!$B$31),'01 Setup'!$B$31&gt;=C64),('01 Setup'!$B$31-C64)*'01 Setup'!$B$22,"")</x:f>
      </x:c>
      <x:c r="O64" s="3"/>
      <x:c r="P64" s="3"/>
      <x:c r="Q64" s="3"/>
      <x:c r="R64" s="3"/>
    </x:row>
    <x:row r="65" ht="34" customHeight="1">
      <x:c r="A65" s="46"/>
      <x:c r="B65" s="46"/>
      <x:c r="C65" s="80"/>
      <x:c r="D65" s="80"/>
      <x:c r="E65" s="46"/>
      <x:c r="F65" s="46"/>
      <x:c r="G65" s="46"/>
      <x:c r="H65" s="46"/>
      <x:c r="I65" s="86" t="str">
        <x:f>IF(A65="","",IF(AND(COUNT(C65:D65)=2,D65&gt;=C65),(D65-C65)*'01 Setup'!$B$22,""))</x:f>
      </x:c>
      <x:c r="J65" s="83" t="str">
        <x:f>IF(AND(ISNUMBER(I65),ISNUMBER('01 Setup'!$B$11),'01 Setup'!$B$11&gt;0),IF(I65&lt;='01 Setup'!$B$11,"Yes","No"),"")</x:f>
      </x:c>
      <x:c r="K65" s="83" t="str">
        <x:f>IF(A65="",IF(COUNTA(B65:H65)&gt;0,"Missing case ID",""),IF(COUNTIF($A$10:$A$99,A65)&gt;1,"Duplicate ID",IF(OR(B65="",G65="",H65=""),"Complete phase/eligibility/stop",IF(OR(NOT(OR(G65="Yes",G65="No")),NOT(OR(H65="Yes",H65="No"))),"Invalid eligibility/stop",IF(NOT(ISNUMBER(C65)),"Missing receipt",IF(D65="","Open",IF(NOT(ISNUMBER(D65)),"Invalid delivery",IF(D65&lt;C65,"Delivery before receipt",IF(OR(E65="",F65=""),"Complete quality/route",IF(OR(NOT(OR(E65="Yes",E65="No")),NOT(OR(F65="Standard",F65="Assisted",F65="Other"))),"Invalid quality/route","Valid"))))))))))</x:f>
      </x:c>
      <x:c r="L65" s="86" t="str">
        <x:f>IF(AND('01 Setup'!$B$10&lt;&gt;"",B65='01 Setup'!$B$10,G65="Yes",K65="Valid"),I65,"")</x:f>
      </x:c>
      <x:c r="M65" s="86" t="str">
        <x:f>IF(A65="","",IF(AND('01 Setup'!$B$10&lt;&gt;"",B65='01 Setup'!$B$10,G65="Yes",K65="Valid"),1,0))</x:f>
      </x:c>
      <x:c r="N65" s="86" t="str">
        <x:f>IF(AND(A65&lt;&gt;"",D65="",ISNUMBER(C65),ISNUMBER('01 Setup'!$B$31),'01 Setup'!$B$31&gt;=C65),('01 Setup'!$B$31-C65)*'01 Setup'!$B$22,"")</x:f>
      </x:c>
      <x:c r="O65" s="3"/>
      <x:c r="P65" s="3"/>
      <x:c r="Q65" s="3"/>
      <x:c r="R65" s="3"/>
    </x:row>
    <x:row r="66" ht="34" customHeight="1">
      <x:c r="A66" s="46"/>
      <x:c r="B66" s="46"/>
      <x:c r="C66" s="80"/>
      <x:c r="D66" s="80"/>
      <x:c r="E66" s="46"/>
      <x:c r="F66" s="46"/>
      <x:c r="G66" s="46"/>
      <x:c r="H66" s="46"/>
      <x:c r="I66" s="86" t="str">
        <x:f>IF(A66="","",IF(AND(COUNT(C66:D66)=2,D66&gt;=C66),(D66-C66)*'01 Setup'!$B$22,""))</x:f>
      </x:c>
      <x:c r="J66" s="83" t="str">
        <x:f>IF(AND(ISNUMBER(I66),ISNUMBER('01 Setup'!$B$11),'01 Setup'!$B$11&gt;0),IF(I66&lt;='01 Setup'!$B$11,"Yes","No"),"")</x:f>
      </x:c>
      <x:c r="K66" s="83" t="str">
        <x:f>IF(A66="",IF(COUNTA(B66:H66)&gt;0,"Missing case ID",""),IF(COUNTIF($A$10:$A$99,A66)&gt;1,"Duplicate ID",IF(OR(B66="",G66="",H66=""),"Complete phase/eligibility/stop",IF(OR(NOT(OR(G66="Yes",G66="No")),NOT(OR(H66="Yes",H66="No"))),"Invalid eligibility/stop",IF(NOT(ISNUMBER(C66)),"Missing receipt",IF(D66="","Open",IF(NOT(ISNUMBER(D66)),"Invalid delivery",IF(D66&lt;C66,"Delivery before receipt",IF(OR(E66="",F66=""),"Complete quality/route",IF(OR(NOT(OR(E66="Yes",E66="No")),NOT(OR(F66="Standard",F66="Assisted",F66="Other"))),"Invalid quality/route","Valid"))))))))))</x:f>
      </x:c>
      <x:c r="L66" s="86" t="str">
        <x:f>IF(AND('01 Setup'!$B$10&lt;&gt;"",B66='01 Setup'!$B$10,G66="Yes",K66="Valid"),I66,"")</x:f>
      </x:c>
      <x:c r="M66" s="86" t="str">
        <x:f>IF(A66="","",IF(AND('01 Setup'!$B$10&lt;&gt;"",B66='01 Setup'!$B$10,G66="Yes",K66="Valid"),1,0))</x:f>
      </x:c>
      <x:c r="N66" s="86" t="str">
        <x:f>IF(AND(A66&lt;&gt;"",D66="",ISNUMBER(C66),ISNUMBER('01 Setup'!$B$31),'01 Setup'!$B$31&gt;=C66),('01 Setup'!$B$31-C66)*'01 Setup'!$B$22,"")</x:f>
      </x:c>
      <x:c r="O66" s="3"/>
      <x:c r="P66" s="3"/>
      <x:c r="Q66" s="3"/>
      <x:c r="R66" s="3"/>
    </x:row>
    <x:row r="67" ht="34" customHeight="1">
      <x:c r="A67" s="46"/>
      <x:c r="B67" s="46"/>
      <x:c r="C67" s="80"/>
      <x:c r="D67" s="80"/>
      <x:c r="E67" s="46"/>
      <x:c r="F67" s="46"/>
      <x:c r="G67" s="46"/>
      <x:c r="H67" s="46"/>
      <x:c r="I67" s="86" t="str">
        <x:f>IF(A67="","",IF(AND(COUNT(C67:D67)=2,D67&gt;=C67),(D67-C67)*'01 Setup'!$B$22,""))</x:f>
      </x:c>
      <x:c r="J67" s="83" t="str">
        <x:f>IF(AND(ISNUMBER(I67),ISNUMBER('01 Setup'!$B$11),'01 Setup'!$B$11&gt;0),IF(I67&lt;='01 Setup'!$B$11,"Yes","No"),"")</x:f>
      </x:c>
      <x:c r="K67" s="83" t="str">
        <x:f>IF(A67="",IF(COUNTA(B67:H67)&gt;0,"Missing case ID",""),IF(COUNTIF($A$10:$A$99,A67)&gt;1,"Duplicate ID",IF(OR(B67="",G67="",H67=""),"Complete phase/eligibility/stop",IF(OR(NOT(OR(G67="Yes",G67="No")),NOT(OR(H67="Yes",H67="No"))),"Invalid eligibility/stop",IF(NOT(ISNUMBER(C67)),"Missing receipt",IF(D67="","Open",IF(NOT(ISNUMBER(D67)),"Invalid delivery",IF(D67&lt;C67,"Delivery before receipt",IF(OR(E67="",F67=""),"Complete quality/route",IF(OR(NOT(OR(E67="Yes",E67="No")),NOT(OR(F67="Standard",F67="Assisted",F67="Other"))),"Invalid quality/route","Valid"))))))))))</x:f>
      </x:c>
      <x:c r="L67" s="86" t="str">
        <x:f>IF(AND('01 Setup'!$B$10&lt;&gt;"",B67='01 Setup'!$B$10,G67="Yes",K67="Valid"),I67,"")</x:f>
      </x:c>
      <x:c r="M67" s="86" t="str">
        <x:f>IF(A67="","",IF(AND('01 Setup'!$B$10&lt;&gt;"",B67='01 Setup'!$B$10,G67="Yes",K67="Valid"),1,0))</x:f>
      </x:c>
      <x:c r="N67" s="86" t="str">
        <x:f>IF(AND(A67&lt;&gt;"",D67="",ISNUMBER(C67),ISNUMBER('01 Setup'!$B$31),'01 Setup'!$B$31&gt;=C67),('01 Setup'!$B$31-C67)*'01 Setup'!$B$22,"")</x:f>
      </x:c>
      <x:c r="O67" s="3"/>
      <x:c r="P67" s="3"/>
      <x:c r="Q67" s="3"/>
      <x:c r="R67" s="3"/>
    </x:row>
    <x:row r="68" ht="34" customHeight="1">
      <x:c r="A68" s="46"/>
      <x:c r="B68" s="46"/>
      <x:c r="C68" s="80"/>
      <x:c r="D68" s="80"/>
      <x:c r="E68" s="46"/>
      <x:c r="F68" s="46"/>
      <x:c r="G68" s="46"/>
      <x:c r="H68" s="46"/>
      <x:c r="I68" s="86" t="str">
        <x:f>IF(A68="","",IF(AND(COUNT(C68:D68)=2,D68&gt;=C68),(D68-C68)*'01 Setup'!$B$22,""))</x:f>
      </x:c>
      <x:c r="J68" s="83" t="str">
        <x:f>IF(AND(ISNUMBER(I68),ISNUMBER('01 Setup'!$B$11),'01 Setup'!$B$11&gt;0),IF(I68&lt;='01 Setup'!$B$11,"Yes","No"),"")</x:f>
      </x:c>
      <x:c r="K68" s="83" t="str">
        <x:f>IF(A68="",IF(COUNTA(B68:H68)&gt;0,"Missing case ID",""),IF(COUNTIF($A$10:$A$99,A68)&gt;1,"Duplicate ID",IF(OR(B68="",G68="",H68=""),"Complete phase/eligibility/stop",IF(OR(NOT(OR(G68="Yes",G68="No")),NOT(OR(H68="Yes",H68="No"))),"Invalid eligibility/stop",IF(NOT(ISNUMBER(C68)),"Missing receipt",IF(D68="","Open",IF(NOT(ISNUMBER(D68)),"Invalid delivery",IF(D68&lt;C68,"Delivery before receipt",IF(OR(E68="",F68=""),"Complete quality/route",IF(OR(NOT(OR(E68="Yes",E68="No")),NOT(OR(F68="Standard",F68="Assisted",F68="Other"))),"Invalid quality/route","Valid"))))))))))</x:f>
      </x:c>
      <x:c r="L68" s="86" t="str">
        <x:f>IF(AND('01 Setup'!$B$10&lt;&gt;"",B68='01 Setup'!$B$10,G68="Yes",K68="Valid"),I68,"")</x:f>
      </x:c>
      <x:c r="M68" s="86" t="str">
        <x:f>IF(A68="","",IF(AND('01 Setup'!$B$10&lt;&gt;"",B68='01 Setup'!$B$10,G68="Yes",K68="Valid"),1,0))</x:f>
      </x:c>
      <x:c r="N68" s="86" t="str">
        <x:f>IF(AND(A68&lt;&gt;"",D68="",ISNUMBER(C68),ISNUMBER('01 Setup'!$B$31),'01 Setup'!$B$31&gt;=C68),('01 Setup'!$B$31-C68)*'01 Setup'!$B$22,"")</x:f>
      </x:c>
      <x:c r="O68" s="3"/>
      <x:c r="P68" s="3"/>
      <x:c r="Q68" s="3"/>
      <x:c r="R68" s="3"/>
    </x:row>
    <x:row r="69" ht="34" customHeight="1">
      <x:c r="A69" s="46"/>
      <x:c r="B69" s="46"/>
      <x:c r="C69" s="80"/>
      <x:c r="D69" s="80"/>
      <x:c r="E69" s="46"/>
      <x:c r="F69" s="46"/>
      <x:c r="G69" s="46"/>
      <x:c r="H69" s="46"/>
      <x:c r="I69" s="86" t="str">
        <x:f>IF(A69="","",IF(AND(COUNT(C69:D69)=2,D69&gt;=C69),(D69-C69)*'01 Setup'!$B$22,""))</x:f>
      </x:c>
      <x:c r="J69" s="83" t="str">
        <x:f>IF(AND(ISNUMBER(I69),ISNUMBER('01 Setup'!$B$11),'01 Setup'!$B$11&gt;0),IF(I69&lt;='01 Setup'!$B$11,"Yes","No"),"")</x:f>
      </x:c>
      <x:c r="K69" s="83" t="str">
        <x:f>IF(A69="",IF(COUNTA(B69:H69)&gt;0,"Missing case ID",""),IF(COUNTIF($A$10:$A$99,A69)&gt;1,"Duplicate ID",IF(OR(B69="",G69="",H69=""),"Complete phase/eligibility/stop",IF(OR(NOT(OR(G69="Yes",G69="No")),NOT(OR(H69="Yes",H69="No"))),"Invalid eligibility/stop",IF(NOT(ISNUMBER(C69)),"Missing receipt",IF(D69="","Open",IF(NOT(ISNUMBER(D69)),"Invalid delivery",IF(D69&lt;C69,"Delivery before receipt",IF(OR(E69="",F69=""),"Complete quality/route",IF(OR(NOT(OR(E69="Yes",E69="No")),NOT(OR(F69="Standard",F69="Assisted",F69="Other"))),"Invalid quality/route","Valid"))))))))))</x:f>
      </x:c>
      <x:c r="L69" s="86" t="str">
        <x:f>IF(AND('01 Setup'!$B$10&lt;&gt;"",B69='01 Setup'!$B$10,G69="Yes",K69="Valid"),I69,"")</x:f>
      </x:c>
      <x:c r="M69" s="86" t="str">
        <x:f>IF(A69="","",IF(AND('01 Setup'!$B$10&lt;&gt;"",B69='01 Setup'!$B$10,G69="Yes",K69="Valid"),1,0))</x:f>
      </x:c>
      <x:c r="N69" s="86" t="str">
        <x:f>IF(AND(A69&lt;&gt;"",D69="",ISNUMBER(C69),ISNUMBER('01 Setup'!$B$31),'01 Setup'!$B$31&gt;=C69),('01 Setup'!$B$31-C69)*'01 Setup'!$B$22,"")</x:f>
      </x:c>
      <x:c r="O69" s="3"/>
      <x:c r="P69" s="3"/>
      <x:c r="Q69" s="3"/>
      <x:c r="R69" s="3"/>
    </x:row>
    <x:row r="70" ht="34" customHeight="1">
      <x:c r="A70" s="46"/>
      <x:c r="B70" s="46"/>
      <x:c r="C70" s="80"/>
      <x:c r="D70" s="80"/>
      <x:c r="E70" s="46"/>
      <x:c r="F70" s="46"/>
      <x:c r="G70" s="46"/>
      <x:c r="H70" s="46"/>
      <x:c r="I70" s="86" t="str">
        <x:f>IF(A70="","",IF(AND(COUNT(C70:D70)=2,D70&gt;=C70),(D70-C70)*'01 Setup'!$B$22,""))</x:f>
      </x:c>
      <x:c r="J70" s="83" t="str">
        <x:f>IF(AND(ISNUMBER(I70),ISNUMBER('01 Setup'!$B$11),'01 Setup'!$B$11&gt;0),IF(I70&lt;='01 Setup'!$B$11,"Yes","No"),"")</x:f>
      </x:c>
      <x:c r="K70" s="83" t="str">
        <x:f>IF(A70="",IF(COUNTA(B70:H70)&gt;0,"Missing case ID",""),IF(COUNTIF($A$10:$A$99,A70)&gt;1,"Duplicate ID",IF(OR(B70="",G70="",H70=""),"Complete phase/eligibility/stop",IF(OR(NOT(OR(G70="Yes",G70="No")),NOT(OR(H70="Yes",H70="No"))),"Invalid eligibility/stop",IF(NOT(ISNUMBER(C70)),"Missing receipt",IF(D70="","Open",IF(NOT(ISNUMBER(D70)),"Invalid delivery",IF(D70&lt;C70,"Delivery before receipt",IF(OR(E70="",F70=""),"Complete quality/route",IF(OR(NOT(OR(E70="Yes",E70="No")),NOT(OR(F70="Standard",F70="Assisted",F70="Other"))),"Invalid quality/route","Valid"))))))))))</x:f>
      </x:c>
      <x:c r="L70" s="86" t="str">
        <x:f>IF(AND('01 Setup'!$B$10&lt;&gt;"",B70='01 Setup'!$B$10,G70="Yes",K70="Valid"),I70,"")</x:f>
      </x:c>
      <x:c r="M70" s="86" t="str">
        <x:f>IF(A70="","",IF(AND('01 Setup'!$B$10&lt;&gt;"",B70='01 Setup'!$B$10,G70="Yes",K70="Valid"),1,0))</x:f>
      </x:c>
      <x:c r="N70" s="86" t="str">
        <x:f>IF(AND(A70&lt;&gt;"",D70="",ISNUMBER(C70),ISNUMBER('01 Setup'!$B$31),'01 Setup'!$B$31&gt;=C70),('01 Setup'!$B$31-C70)*'01 Setup'!$B$22,"")</x:f>
      </x:c>
      <x:c r="O70" s="3"/>
      <x:c r="P70" s="3"/>
      <x:c r="Q70" s="3"/>
      <x:c r="R70" s="3"/>
    </x:row>
    <x:row r="71" ht="34" customHeight="1">
      <x:c r="A71" s="46"/>
      <x:c r="B71" s="46"/>
      <x:c r="C71" s="80"/>
      <x:c r="D71" s="80"/>
      <x:c r="E71" s="46"/>
      <x:c r="F71" s="46"/>
      <x:c r="G71" s="46"/>
      <x:c r="H71" s="46"/>
      <x:c r="I71" s="86" t="str">
        <x:f>IF(A71="","",IF(AND(COUNT(C71:D71)=2,D71&gt;=C71),(D71-C71)*'01 Setup'!$B$22,""))</x:f>
      </x:c>
      <x:c r="J71" s="83" t="str">
        <x:f>IF(AND(ISNUMBER(I71),ISNUMBER('01 Setup'!$B$11),'01 Setup'!$B$11&gt;0),IF(I71&lt;='01 Setup'!$B$11,"Yes","No"),"")</x:f>
      </x:c>
      <x:c r="K71" s="83" t="str">
        <x:f>IF(A71="",IF(COUNTA(B71:H71)&gt;0,"Missing case ID",""),IF(COUNTIF($A$10:$A$99,A71)&gt;1,"Duplicate ID",IF(OR(B71="",G71="",H71=""),"Complete phase/eligibility/stop",IF(OR(NOT(OR(G71="Yes",G71="No")),NOT(OR(H71="Yes",H71="No"))),"Invalid eligibility/stop",IF(NOT(ISNUMBER(C71)),"Missing receipt",IF(D71="","Open",IF(NOT(ISNUMBER(D71)),"Invalid delivery",IF(D71&lt;C71,"Delivery before receipt",IF(OR(E71="",F71=""),"Complete quality/route",IF(OR(NOT(OR(E71="Yes",E71="No")),NOT(OR(F71="Standard",F71="Assisted",F71="Other"))),"Invalid quality/route","Valid"))))))))))</x:f>
      </x:c>
      <x:c r="L71" s="86" t="str">
        <x:f>IF(AND('01 Setup'!$B$10&lt;&gt;"",B71='01 Setup'!$B$10,G71="Yes",K71="Valid"),I71,"")</x:f>
      </x:c>
      <x:c r="M71" s="86" t="str">
        <x:f>IF(A71="","",IF(AND('01 Setup'!$B$10&lt;&gt;"",B71='01 Setup'!$B$10,G71="Yes",K71="Valid"),1,0))</x:f>
      </x:c>
      <x:c r="N71" s="86" t="str">
        <x:f>IF(AND(A71&lt;&gt;"",D71="",ISNUMBER(C71),ISNUMBER('01 Setup'!$B$31),'01 Setup'!$B$31&gt;=C71),('01 Setup'!$B$31-C71)*'01 Setup'!$B$22,"")</x:f>
      </x:c>
      <x:c r="O71" s="3"/>
      <x:c r="P71" s="3"/>
      <x:c r="Q71" s="3"/>
      <x:c r="R71" s="3"/>
    </x:row>
    <x:row r="72" ht="34" customHeight="1">
      <x:c r="A72" s="46"/>
      <x:c r="B72" s="46"/>
      <x:c r="C72" s="80"/>
      <x:c r="D72" s="80"/>
      <x:c r="E72" s="46"/>
      <x:c r="F72" s="46"/>
      <x:c r="G72" s="46"/>
      <x:c r="H72" s="46"/>
      <x:c r="I72" s="86" t="str">
        <x:f>IF(A72="","",IF(AND(COUNT(C72:D72)=2,D72&gt;=C72),(D72-C72)*'01 Setup'!$B$22,""))</x:f>
      </x:c>
      <x:c r="J72" s="83" t="str">
        <x:f>IF(AND(ISNUMBER(I72),ISNUMBER('01 Setup'!$B$11),'01 Setup'!$B$11&gt;0),IF(I72&lt;='01 Setup'!$B$11,"Yes","No"),"")</x:f>
      </x:c>
      <x:c r="K72" s="83" t="str">
        <x:f>IF(A72="",IF(COUNTA(B72:H72)&gt;0,"Missing case ID",""),IF(COUNTIF($A$10:$A$99,A72)&gt;1,"Duplicate ID",IF(OR(B72="",G72="",H72=""),"Complete phase/eligibility/stop",IF(OR(NOT(OR(G72="Yes",G72="No")),NOT(OR(H72="Yes",H72="No"))),"Invalid eligibility/stop",IF(NOT(ISNUMBER(C72)),"Missing receipt",IF(D72="","Open",IF(NOT(ISNUMBER(D72)),"Invalid delivery",IF(D72&lt;C72,"Delivery before receipt",IF(OR(E72="",F72=""),"Complete quality/route",IF(OR(NOT(OR(E72="Yes",E72="No")),NOT(OR(F72="Standard",F72="Assisted",F72="Other"))),"Invalid quality/route","Valid"))))))))))</x:f>
      </x:c>
      <x:c r="L72" s="86" t="str">
        <x:f>IF(AND('01 Setup'!$B$10&lt;&gt;"",B72='01 Setup'!$B$10,G72="Yes",K72="Valid"),I72,"")</x:f>
      </x:c>
      <x:c r="M72" s="86" t="str">
        <x:f>IF(A72="","",IF(AND('01 Setup'!$B$10&lt;&gt;"",B72='01 Setup'!$B$10,G72="Yes",K72="Valid"),1,0))</x:f>
      </x:c>
      <x:c r="N72" s="86" t="str">
        <x:f>IF(AND(A72&lt;&gt;"",D72="",ISNUMBER(C72),ISNUMBER('01 Setup'!$B$31),'01 Setup'!$B$31&gt;=C72),('01 Setup'!$B$31-C72)*'01 Setup'!$B$22,"")</x:f>
      </x:c>
      <x:c r="O72" s="3"/>
      <x:c r="P72" s="3"/>
      <x:c r="Q72" s="3"/>
      <x:c r="R72" s="3"/>
    </x:row>
    <x:row r="73" ht="34" customHeight="1">
      <x:c r="A73" s="46"/>
      <x:c r="B73" s="46"/>
      <x:c r="C73" s="80"/>
      <x:c r="D73" s="80"/>
      <x:c r="E73" s="46"/>
      <x:c r="F73" s="46"/>
      <x:c r="G73" s="46"/>
      <x:c r="H73" s="46"/>
      <x:c r="I73" s="86" t="str">
        <x:f>IF(A73="","",IF(AND(COUNT(C73:D73)=2,D73&gt;=C73),(D73-C73)*'01 Setup'!$B$22,""))</x:f>
      </x:c>
      <x:c r="J73" s="83" t="str">
        <x:f>IF(AND(ISNUMBER(I73),ISNUMBER('01 Setup'!$B$11),'01 Setup'!$B$11&gt;0),IF(I73&lt;='01 Setup'!$B$11,"Yes","No"),"")</x:f>
      </x:c>
      <x:c r="K73" s="83" t="str">
        <x:f>IF(A73="",IF(COUNTA(B73:H73)&gt;0,"Missing case ID",""),IF(COUNTIF($A$10:$A$99,A73)&gt;1,"Duplicate ID",IF(OR(B73="",G73="",H73=""),"Complete phase/eligibility/stop",IF(OR(NOT(OR(G73="Yes",G73="No")),NOT(OR(H73="Yes",H73="No"))),"Invalid eligibility/stop",IF(NOT(ISNUMBER(C73)),"Missing receipt",IF(D73="","Open",IF(NOT(ISNUMBER(D73)),"Invalid delivery",IF(D73&lt;C73,"Delivery before receipt",IF(OR(E73="",F73=""),"Complete quality/route",IF(OR(NOT(OR(E73="Yes",E73="No")),NOT(OR(F73="Standard",F73="Assisted",F73="Other"))),"Invalid quality/route","Valid"))))))))))</x:f>
      </x:c>
      <x:c r="L73" s="86" t="str">
        <x:f>IF(AND('01 Setup'!$B$10&lt;&gt;"",B73='01 Setup'!$B$10,G73="Yes",K73="Valid"),I73,"")</x:f>
      </x:c>
      <x:c r="M73" s="86" t="str">
        <x:f>IF(A73="","",IF(AND('01 Setup'!$B$10&lt;&gt;"",B73='01 Setup'!$B$10,G73="Yes",K73="Valid"),1,0))</x:f>
      </x:c>
      <x:c r="N73" s="86" t="str">
        <x:f>IF(AND(A73&lt;&gt;"",D73="",ISNUMBER(C73),ISNUMBER('01 Setup'!$B$31),'01 Setup'!$B$31&gt;=C73),('01 Setup'!$B$31-C73)*'01 Setup'!$B$22,"")</x:f>
      </x:c>
      <x:c r="O73" s="3"/>
      <x:c r="P73" s="3"/>
      <x:c r="Q73" s="3"/>
      <x:c r="R73" s="3"/>
    </x:row>
    <x:row r="74" ht="34" customHeight="1">
      <x:c r="A74" s="46"/>
      <x:c r="B74" s="46"/>
      <x:c r="C74" s="80"/>
      <x:c r="D74" s="80"/>
      <x:c r="E74" s="46"/>
      <x:c r="F74" s="46"/>
      <x:c r="G74" s="46"/>
      <x:c r="H74" s="46"/>
      <x:c r="I74" s="86" t="str">
        <x:f>IF(A74="","",IF(AND(COUNT(C74:D74)=2,D74&gt;=C74),(D74-C74)*'01 Setup'!$B$22,""))</x:f>
      </x:c>
      <x:c r="J74" s="83" t="str">
        <x:f>IF(AND(ISNUMBER(I74),ISNUMBER('01 Setup'!$B$11),'01 Setup'!$B$11&gt;0),IF(I74&lt;='01 Setup'!$B$11,"Yes","No"),"")</x:f>
      </x:c>
      <x:c r="K74" s="83" t="str">
        <x:f>IF(A74="",IF(COUNTA(B74:H74)&gt;0,"Missing case ID",""),IF(COUNTIF($A$10:$A$99,A74)&gt;1,"Duplicate ID",IF(OR(B74="",G74="",H74=""),"Complete phase/eligibility/stop",IF(OR(NOT(OR(G74="Yes",G74="No")),NOT(OR(H74="Yes",H74="No"))),"Invalid eligibility/stop",IF(NOT(ISNUMBER(C74)),"Missing receipt",IF(D74="","Open",IF(NOT(ISNUMBER(D74)),"Invalid delivery",IF(D74&lt;C74,"Delivery before receipt",IF(OR(E74="",F74=""),"Complete quality/route",IF(OR(NOT(OR(E74="Yes",E74="No")),NOT(OR(F74="Standard",F74="Assisted",F74="Other"))),"Invalid quality/route","Valid"))))))))))</x:f>
      </x:c>
      <x:c r="L74" s="86" t="str">
        <x:f>IF(AND('01 Setup'!$B$10&lt;&gt;"",B74='01 Setup'!$B$10,G74="Yes",K74="Valid"),I74,"")</x:f>
      </x:c>
      <x:c r="M74" s="86" t="str">
        <x:f>IF(A74="","",IF(AND('01 Setup'!$B$10&lt;&gt;"",B74='01 Setup'!$B$10,G74="Yes",K74="Valid"),1,0))</x:f>
      </x:c>
      <x:c r="N74" s="86" t="str">
        <x:f>IF(AND(A74&lt;&gt;"",D74="",ISNUMBER(C74),ISNUMBER('01 Setup'!$B$31),'01 Setup'!$B$31&gt;=C74),('01 Setup'!$B$31-C74)*'01 Setup'!$B$22,"")</x:f>
      </x:c>
      <x:c r="O74" s="3"/>
      <x:c r="P74" s="3"/>
      <x:c r="Q74" s="3"/>
      <x:c r="R74" s="3"/>
    </x:row>
    <x:row r="75" ht="34" customHeight="1">
      <x:c r="A75" s="46"/>
      <x:c r="B75" s="46"/>
      <x:c r="C75" s="80"/>
      <x:c r="D75" s="80"/>
      <x:c r="E75" s="46"/>
      <x:c r="F75" s="46"/>
      <x:c r="G75" s="46"/>
      <x:c r="H75" s="46"/>
      <x:c r="I75" s="86" t="str">
        <x:f>IF(A75="","",IF(AND(COUNT(C75:D75)=2,D75&gt;=C75),(D75-C75)*'01 Setup'!$B$22,""))</x:f>
      </x:c>
      <x:c r="J75" s="83" t="str">
        <x:f>IF(AND(ISNUMBER(I75),ISNUMBER('01 Setup'!$B$11),'01 Setup'!$B$11&gt;0),IF(I75&lt;='01 Setup'!$B$11,"Yes","No"),"")</x:f>
      </x:c>
      <x:c r="K75" s="83" t="str">
        <x:f>IF(A75="",IF(COUNTA(B75:H75)&gt;0,"Missing case ID",""),IF(COUNTIF($A$10:$A$99,A75)&gt;1,"Duplicate ID",IF(OR(B75="",G75="",H75=""),"Complete phase/eligibility/stop",IF(OR(NOT(OR(G75="Yes",G75="No")),NOT(OR(H75="Yes",H75="No"))),"Invalid eligibility/stop",IF(NOT(ISNUMBER(C75)),"Missing receipt",IF(D75="","Open",IF(NOT(ISNUMBER(D75)),"Invalid delivery",IF(D75&lt;C75,"Delivery before receipt",IF(OR(E75="",F75=""),"Complete quality/route",IF(OR(NOT(OR(E75="Yes",E75="No")),NOT(OR(F75="Standard",F75="Assisted",F75="Other"))),"Invalid quality/route","Valid"))))))))))</x:f>
      </x:c>
      <x:c r="L75" s="86" t="str">
        <x:f>IF(AND('01 Setup'!$B$10&lt;&gt;"",B75='01 Setup'!$B$10,G75="Yes",K75="Valid"),I75,"")</x:f>
      </x:c>
      <x:c r="M75" s="86" t="str">
        <x:f>IF(A75="","",IF(AND('01 Setup'!$B$10&lt;&gt;"",B75='01 Setup'!$B$10,G75="Yes",K75="Valid"),1,0))</x:f>
      </x:c>
      <x:c r="N75" s="86" t="str">
        <x:f>IF(AND(A75&lt;&gt;"",D75="",ISNUMBER(C75),ISNUMBER('01 Setup'!$B$31),'01 Setup'!$B$31&gt;=C75),('01 Setup'!$B$31-C75)*'01 Setup'!$B$22,"")</x:f>
      </x:c>
      <x:c r="O75" s="3"/>
      <x:c r="P75" s="3"/>
      <x:c r="Q75" s="3"/>
      <x:c r="R75" s="3"/>
    </x:row>
    <x:row r="76" ht="34" customHeight="1">
      <x:c r="A76" s="46"/>
      <x:c r="B76" s="46"/>
      <x:c r="C76" s="80"/>
      <x:c r="D76" s="80"/>
      <x:c r="E76" s="46"/>
      <x:c r="F76" s="46"/>
      <x:c r="G76" s="46"/>
      <x:c r="H76" s="46"/>
      <x:c r="I76" s="86" t="str">
        <x:f>IF(A76="","",IF(AND(COUNT(C76:D76)=2,D76&gt;=C76),(D76-C76)*'01 Setup'!$B$22,""))</x:f>
      </x:c>
      <x:c r="J76" s="83" t="str">
        <x:f>IF(AND(ISNUMBER(I76),ISNUMBER('01 Setup'!$B$11),'01 Setup'!$B$11&gt;0),IF(I76&lt;='01 Setup'!$B$11,"Yes","No"),"")</x:f>
      </x:c>
      <x:c r="K76" s="83" t="str">
        <x:f>IF(A76="",IF(COUNTA(B76:H76)&gt;0,"Missing case ID",""),IF(COUNTIF($A$10:$A$99,A76)&gt;1,"Duplicate ID",IF(OR(B76="",G76="",H76=""),"Complete phase/eligibility/stop",IF(OR(NOT(OR(G76="Yes",G76="No")),NOT(OR(H76="Yes",H76="No"))),"Invalid eligibility/stop",IF(NOT(ISNUMBER(C76)),"Missing receipt",IF(D76="","Open",IF(NOT(ISNUMBER(D76)),"Invalid delivery",IF(D76&lt;C76,"Delivery before receipt",IF(OR(E76="",F76=""),"Complete quality/route",IF(OR(NOT(OR(E76="Yes",E76="No")),NOT(OR(F76="Standard",F76="Assisted",F76="Other"))),"Invalid quality/route","Valid"))))))))))</x:f>
      </x:c>
      <x:c r="L76" s="86" t="str">
        <x:f>IF(AND('01 Setup'!$B$10&lt;&gt;"",B76='01 Setup'!$B$10,G76="Yes",K76="Valid"),I76,"")</x:f>
      </x:c>
      <x:c r="M76" s="86" t="str">
        <x:f>IF(A76="","",IF(AND('01 Setup'!$B$10&lt;&gt;"",B76='01 Setup'!$B$10,G76="Yes",K76="Valid"),1,0))</x:f>
      </x:c>
      <x:c r="N76" s="86" t="str">
        <x:f>IF(AND(A76&lt;&gt;"",D76="",ISNUMBER(C76),ISNUMBER('01 Setup'!$B$31),'01 Setup'!$B$31&gt;=C76),('01 Setup'!$B$31-C76)*'01 Setup'!$B$22,"")</x:f>
      </x:c>
      <x:c r="O76" s="3"/>
      <x:c r="P76" s="3"/>
      <x:c r="Q76" s="3"/>
      <x:c r="R76" s="3"/>
    </x:row>
    <x:row r="77" ht="34" customHeight="1">
      <x:c r="A77" s="46"/>
      <x:c r="B77" s="46"/>
      <x:c r="C77" s="80"/>
      <x:c r="D77" s="80"/>
      <x:c r="E77" s="46"/>
      <x:c r="F77" s="46"/>
      <x:c r="G77" s="46"/>
      <x:c r="H77" s="46"/>
      <x:c r="I77" s="86" t="str">
        <x:f>IF(A77="","",IF(AND(COUNT(C77:D77)=2,D77&gt;=C77),(D77-C77)*'01 Setup'!$B$22,""))</x:f>
      </x:c>
      <x:c r="J77" s="83" t="str">
        <x:f>IF(AND(ISNUMBER(I77),ISNUMBER('01 Setup'!$B$11),'01 Setup'!$B$11&gt;0),IF(I77&lt;='01 Setup'!$B$11,"Yes","No"),"")</x:f>
      </x:c>
      <x:c r="K77" s="83" t="str">
        <x:f>IF(A77="",IF(COUNTA(B77:H77)&gt;0,"Missing case ID",""),IF(COUNTIF($A$10:$A$99,A77)&gt;1,"Duplicate ID",IF(OR(B77="",G77="",H77=""),"Complete phase/eligibility/stop",IF(OR(NOT(OR(G77="Yes",G77="No")),NOT(OR(H77="Yes",H77="No"))),"Invalid eligibility/stop",IF(NOT(ISNUMBER(C77)),"Missing receipt",IF(D77="","Open",IF(NOT(ISNUMBER(D77)),"Invalid delivery",IF(D77&lt;C77,"Delivery before receipt",IF(OR(E77="",F77=""),"Complete quality/route",IF(OR(NOT(OR(E77="Yes",E77="No")),NOT(OR(F77="Standard",F77="Assisted",F77="Other"))),"Invalid quality/route","Valid"))))))))))</x:f>
      </x:c>
      <x:c r="L77" s="86" t="str">
        <x:f>IF(AND('01 Setup'!$B$10&lt;&gt;"",B77='01 Setup'!$B$10,G77="Yes",K77="Valid"),I77,"")</x:f>
      </x:c>
      <x:c r="M77" s="86" t="str">
        <x:f>IF(A77="","",IF(AND('01 Setup'!$B$10&lt;&gt;"",B77='01 Setup'!$B$10,G77="Yes",K77="Valid"),1,0))</x:f>
      </x:c>
      <x:c r="N77" s="86" t="str">
        <x:f>IF(AND(A77&lt;&gt;"",D77="",ISNUMBER(C77),ISNUMBER('01 Setup'!$B$31),'01 Setup'!$B$31&gt;=C77),('01 Setup'!$B$31-C77)*'01 Setup'!$B$22,"")</x:f>
      </x:c>
      <x:c r="O77" s="3"/>
      <x:c r="P77" s="3"/>
      <x:c r="Q77" s="3"/>
      <x:c r="R77" s="3"/>
    </x:row>
    <x:row r="78" ht="34" customHeight="1">
      <x:c r="A78" s="46"/>
      <x:c r="B78" s="46"/>
      <x:c r="C78" s="80"/>
      <x:c r="D78" s="80"/>
      <x:c r="E78" s="46"/>
      <x:c r="F78" s="46"/>
      <x:c r="G78" s="46"/>
      <x:c r="H78" s="46"/>
      <x:c r="I78" s="86" t="str">
        <x:f>IF(A78="","",IF(AND(COUNT(C78:D78)=2,D78&gt;=C78),(D78-C78)*'01 Setup'!$B$22,""))</x:f>
      </x:c>
      <x:c r="J78" s="83" t="str">
        <x:f>IF(AND(ISNUMBER(I78),ISNUMBER('01 Setup'!$B$11),'01 Setup'!$B$11&gt;0),IF(I78&lt;='01 Setup'!$B$11,"Yes","No"),"")</x:f>
      </x:c>
      <x:c r="K78" s="83" t="str">
        <x:f>IF(A78="",IF(COUNTA(B78:H78)&gt;0,"Missing case ID",""),IF(COUNTIF($A$10:$A$99,A78)&gt;1,"Duplicate ID",IF(OR(B78="",G78="",H78=""),"Complete phase/eligibility/stop",IF(OR(NOT(OR(G78="Yes",G78="No")),NOT(OR(H78="Yes",H78="No"))),"Invalid eligibility/stop",IF(NOT(ISNUMBER(C78)),"Missing receipt",IF(D78="","Open",IF(NOT(ISNUMBER(D78)),"Invalid delivery",IF(D78&lt;C78,"Delivery before receipt",IF(OR(E78="",F78=""),"Complete quality/route",IF(OR(NOT(OR(E78="Yes",E78="No")),NOT(OR(F78="Standard",F78="Assisted",F78="Other"))),"Invalid quality/route","Valid"))))))))))</x:f>
      </x:c>
      <x:c r="L78" s="86" t="str">
        <x:f>IF(AND('01 Setup'!$B$10&lt;&gt;"",B78='01 Setup'!$B$10,G78="Yes",K78="Valid"),I78,"")</x:f>
      </x:c>
      <x:c r="M78" s="86" t="str">
        <x:f>IF(A78="","",IF(AND('01 Setup'!$B$10&lt;&gt;"",B78='01 Setup'!$B$10,G78="Yes",K78="Valid"),1,0))</x:f>
      </x:c>
      <x:c r="N78" s="86" t="str">
        <x:f>IF(AND(A78&lt;&gt;"",D78="",ISNUMBER(C78),ISNUMBER('01 Setup'!$B$31),'01 Setup'!$B$31&gt;=C78),('01 Setup'!$B$31-C78)*'01 Setup'!$B$22,"")</x:f>
      </x:c>
      <x:c r="O78" s="3"/>
      <x:c r="P78" s="3"/>
      <x:c r="Q78" s="3"/>
      <x:c r="R78" s="3"/>
    </x:row>
    <x:row r="79" ht="34" customHeight="1">
      <x:c r="A79" s="46"/>
      <x:c r="B79" s="46"/>
      <x:c r="C79" s="80"/>
      <x:c r="D79" s="80"/>
      <x:c r="E79" s="46"/>
      <x:c r="F79" s="46"/>
      <x:c r="G79" s="46"/>
      <x:c r="H79" s="46"/>
      <x:c r="I79" s="86" t="str">
        <x:f>IF(A79="","",IF(AND(COUNT(C79:D79)=2,D79&gt;=C79),(D79-C79)*'01 Setup'!$B$22,""))</x:f>
      </x:c>
      <x:c r="J79" s="83" t="str">
        <x:f>IF(AND(ISNUMBER(I79),ISNUMBER('01 Setup'!$B$11),'01 Setup'!$B$11&gt;0),IF(I79&lt;='01 Setup'!$B$11,"Yes","No"),"")</x:f>
      </x:c>
      <x:c r="K79" s="83" t="str">
        <x:f>IF(A79="",IF(COUNTA(B79:H79)&gt;0,"Missing case ID",""),IF(COUNTIF($A$10:$A$99,A79)&gt;1,"Duplicate ID",IF(OR(B79="",G79="",H79=""),"Complete phase/eligibility/stop",IF(OR(NOT(OR(G79="Yes",G79="No")),NOT(OR(H79="Yes",H79="No"))),"Invalid eligibility/stop",IF(NOT(ISNUMBER(C79)),"Missing receipt",IF(D79="","Open",IF(NOT(ISNUMBER(D79)),"Invalid delivery",IF(D79&lt;C79,"Delivery before receipt",IF(OR(E79="",F79=""),"Complete quality/route",IF(OR(NOT(OR(E79="Yes",E79="No")),NOT(OR(F79="Standard",F79="Assisted",F79="Other"))),"Invalid quality/route","Valid"))))))))))</x:f>
      </x:c>
      <x:c r="L79" s="86" t="str">
        <x:f>IF(AND('01 Setup'!$B$10&lt;&gt;"",B79='01 Setup'!$B$10,G79="Yes",K79="Valid"),I79,"")</x:f>
      </x:c>
      <x:c r="M79" s="86" t="str">
        <x:f>IF(A79="","",IF(AND('01 Setup'!$B$10&lt;&gt;"",B79='01 Setup'!$B$10,G79="Yes",K79="Valid"),1,0))</x:f>
      </x:c>
      <x:c r="N79" s="86" t="str">
        <x:f>IF(AND(A79&lt;&gt;"",D79="",ISNUMBER(C79),ISNUMBER('01 Setup'!$B$31),'01 Setup'!$B$31&gt;=C79),('01 Setup'!$B$31-C79)*'01 Setup'!$B$22,"")</x:f>
      </x:c>
      <x:c r="O79" s="3"/>
      <x:c r="P79" s="3"/>
      <x:c r="Q79" s="3"/>
      <x:c r="R79" s="3"/>
    </x:row>
    <x:row r="80" ht="34" customHeight="1">
      <x:c r="A80" s="46"/>
      <x:c r="B80" s="46"/>
      <x:c r="C80" s="80"/>
      <x:c r="D80" s="80"/>
      <x:c r="E80" s="46"/>
      <x:c r="F80" s="46"/>
      <x:c r="G80" s="46"/>
      <x:c r="H80" s="46"/>
      <x:c r="I80" s="86" t="str">
        <x:f>IF(A80="","",IF(AND(COUNT(C80:D80)=2,D80&gt;=C80),(D80-C80)*'01 Setup'!$B$22,""))</x:f>
      </x:c>
      <x:c r="J80" s="83" t="str">
        <x:f>IF(AND(ISNUMBER(I80),ISNUMBER('01 Setup'!$B$11),'01 Setup'!$B$11&gt;0),IF(I80&lt;='01 Setup'!$B$11,"Yes","No"),"")</x:f>
      </x:c>
      <x:c r="K80" s="83" t="str">
        <x:f>IF(A80="",IF(COUNTA(B80:H80)&gt;0,"Missing case ID",""),IF(COUNTIF($A$10:$A$99,A80)&gt;1,"Duplicate ID",IF(OR(B80="",G80="",H80=""),"Complete phase/eligibility/stop",IF(OR(NOT(OR(G80="Yes",G80="No")),NOT(OR(H80="Yes",H80="No"))),"Invalid eligibility/stop",IF(NOT(ISNUMBER(C80)),"Missing receipt",IF(D80="","Open",IF(NOT(ISNUMBER(D80)),"Invalid delivery",IF(D80&lt;C80,"Delivery before receipt",IF(OR(E80="",F80=""),"Complete quality/route",IF(OR(NOT(OR(E80="Yes",E80="No")),NOT(OR(F80="Standard",F80="Assisted",F80="Other"))),"Invalid quality/route","Valid"))))))))))</x:f>
      </x:c>
      <x:c r="L80" s="86" t="str">
        <x:f>IF(AND('01 Setup'!$B$10&lt;&gt;"",B80='01 Setup'!$B$10,G80="Yes",K80="Valid"),I80,"")</x:f>
      </x:c>
      <x:c r="M80" s="86" t="str">
        <x:f>IF(A80="","",IF(AND('01 Setup'!$B$10&lt;&gt;"",B80='01 Setup'!$B$10,G80="Yes",K80="Valid"),1,0))</x:f>
      </x:c>
      <x:c r="N80" s="86" t="str">
        <x:f>IF(AND(A80&lt;&gt;"",D80="",ISNUMBER(C80),ISNUMBER('01 Setup'!$B$31),'01 Setup'!$B$31&gt;=C80),('01 Setup'!$B$31-C80)*'01 Setup'!$B$22,"")</x:f>
      </x:c>
      <x:c r="O80" s="3"/>
      <x:c r="P80" s="3"/>
      <x:c r="Q80" s="3"/>
      <x:c r="R80" s="3"/>
    </x:row>
    <x:row r="81" ht="34" customHeight="1">
      <x:c r="A81" s="46"/>
      <x:c r="B81" s="46"/>
      <x:c r="C81" s="80"/>
      <x:c r="D81" s="80"/>
      <x:c r="E81" s="46"/>
      <x:c r="F81" s="46"/>
      <x:c r="G81" s="46"/>
      <x:c r="H81" s="46"/>
      <x:c r="I81" s="86" t="str">
        <x:f>IF(A81="","",IF(AND(COUNT(C81:D81)=2,D81&gt;=C81),(D81-C81)*'01 Setup'!$B$22,""))</x:f>
      </x:c>
      <x:c r="J81" s="83" t="str">
        <x:f>IF(AND(ISNUMBER(I81),ISNUMBER('01 Setup'!$B$11),'01 Setup'!$B$11&gt;0),IF(I81&lt;='01 Setup'!$B$11,"Yes","No"),"")</x:f>
      </x:c>
      <x:c r="K81" s="83" t="str">
        <x:f>IF(A81="",IF(COUNTA(B81:H81)&gt;0,"Missing case ID",""),IF(COUNTIF($A$10:$A$99,A81)&gt;1,"Duplicate ID",IF(OR(B81="",G81="",H81=""),"Complete phase/eligibility/stop",IF(OR(NOT(OR(G81="Yes",G81="No")),NOT(OR(H81="Yes",H81="No"))),"Invalid eligibility/stop",IF(NOT(ISNUMBER(C81)),"Missing receipt",IF(D81="","Open",IF(NOT(ISNUMBER(D81)),"Invalid delivery",IF(D81&lt;C81,"Delivery before receipt",IF(OR(E81="",F81=""),"Complete quality/route",IF(OR(NOT(OR(E81="Yes",E81="No")),NOT(OR(F81="Standard",F81="Assisted",F81="Other"))),"Invalid quality/route","Valid"))))))))))</x:f>
      </x:c>
      <x:c r="L81" s="86" t="str">
        <x:f>IF(AND('01 Setup'!$B$10&lt;&gt;"",B81='01 Setup'!$B$10,G81="Yes",K81="Valid"),I81,"")</x:f>
      </x:c>
      <x:c r="M81" s="86" t="str">
        <x:f>IF(A81="","",IF(AND('01 Setup'!$B$10&lt;&gt;"",B81='01 Setup'!$B$10,G81="Yes",K81="Valid"),1,0))</x:f>
      </x:c>
      <x:c r="N81" s="86" t="str">
        <x:f>IF(AND(A81&lt;&gt;"",D81="",ISNUMBER(C81),ISNUMBER('01 Setup'!$B$31),'01 Setup'!$B$31&gt;=C81),('01 Setup'!$B$31-C81)*'01 Setup'!$B$22,"")</x:f>
      </x:c>
      <x:c r="O81" s="3"/>
      <x:c r="P81" s="3"/>
      <x:c r="Q81" s="3"/>
      <x:c r="R81" s="3"/>
    </x:row>
    <x:row r="82" ht="34" customHeight="1">
      <x:c r="A82" s="46"/>
      <x:c r="B82" s="46"/>
      <x:c r="C82" s="80"/>
      <x:c r="D82" s="80"/>
      <x:c r="E82" s="46"/>
      <x:c r="F82" s="46"/>
      <x:c r="G82" s="46"/>
      <x:c r="H82" s="46"/>
      <x:c r="I82" s="86" t="str">
        <x:f>IF(A82="","",IF(AND(COUNT(C82:D82)=2,D82&gt;=C82),(D82-C82)*'01 Setup'!$B$22,""))</x:f>
      </x:c>
      <x:c r="J82" s="83" t="str">
        <x:f>IF(AND(ISNUMBER(I82),ISNUMBER('01 Setup'!$B$11),'01 Setup'!$B$11&gt;0),IF(I82&lt;='01 Setup'!$B$11,"Yes","No"),"")</x:f>
      </x:c>
      <x:c r="K82" s="83" t="str">
        <x:f>IF(A82="",IF(COUNTA(B82:H82)&gt;0,"Missing case ID",""),IF(COUNTIF($A$10:$A$99,A82)&gt;1,"Duplicate ID",IF(OR(B82="",G82="",H82=""),"Complete phase/eligibility/stop",IF(OR(NOT(OR(G82="Yes",G82="No")),NOT(OR(H82="Yes",H82="No"))),"Invalid eligibility/stop",IF(NOT(ISNUMBER(C82)),"Missing receipt",IF(D82="","Open",IF(NOT(ISNUMBER(D82)),"Invalid delivery",IF(D82&lt;C82,"Delivery before receipt",IF(OR(E82="",F82=""),"Complete quality/route",IF(OR(NOT(OR(E82="Yes",E82="No")),NOT(OR(F82="Standard",F82="Assisted",F82="Other"))),"Invalid quality/route","Valid"))))))))))</x:f>
      </x:c>
      <x:c r="L82" s="86" t="str">
        <x:f>IF(AND('01 Setup'!$B$10&lt;&gt;"",B82='01 Setup'!$B$10,G82="Yes",K82="Valid"),I82,"")</x:f>
      </x:c>
      <x:c r="M82" s="86" t="str">
        <x:f>IF(A82="","",IF(AND('01 Setup'!$B$10&lt;&gt;"",B82='01 Setup'!$B$10,G82="Yes",K82="Valid"),1,0))</x:f>
      </x:c>
      <x:c r="N82" s="86" t="str">
        <x:f>IF(AND(A82&lt;&gt;"",D82="",ISNUMBER(C82),ISNUMBER('01 Setup'!$B$31),'01 Setup'!$B$31&gt;=C82),('01 Setup'!$B$31-C82)*'01 Setup'!$B$22,"")</x:f>
      </x:c>
      <x:c r="O82" s="3"/>
      <x:c r="P82" s="3"/>
      <x:c r="Q82" s="3"/>
      <x:c r="R82" s="3"/>
    </x:row>
    <x:row r="83" ht="34" customHeight="1">
      <x:c r="A83" s="46"/>
      <x:c r="B83" s="46"/>
      <x:c r="C83" s="80"/>
      <x:c r="D83" s="80"/>
      <x:c r="E83" s="46"/>
      <x:c r="F83" s="46"/>
      <x:c r="G83" s="46"/>
      <x:c r="H83" s="46"/>
      <x:c r="I83" s="86" t="str">
        <x:f>IF(A83="","",IF(AND(COUNT(C83:D83)=2,D83&gt;=C83),(D83-C83)*'01 Setup'!$B$22,""))</x:f>
      </x:c>
      <x:c r="J83" s="83" t="str">
        <x:f>IF(AND(ISNUMBER(I83),ISNUMBER('01 Setup'!$B$11),'01 Setup'!$B$11&gt;0),IF(I83&lt;='01 Setup'!$B$11,"Yes","No"),"")</x:f>
      </x:c>
      <x:c r="K83" s="83" t="str">
        <x:f>IF(A83="",IF(COUNTA(B83:H83)&gt;0,"Missing case ID",""),IF(COUNTIF($A$10:$A$99,A83)&gt;1,"Duplicate ID",IF(OR(B83="",G83="",H83=""),"Complete phase/eligibility/stop",IF(OR(NOT(OR(G83="Yes",G83="No")),NOT(OR(H83="Yes",H83="No"))),"Invalid eligibility/stop",IF(NOT(ISNUMBER(C83)),"Missing receipt",IF(D83="","Open",IF(NOT(ISNUMBER(D83)),"Invalid delivery",IF(D83&lt;C83,"Delivery before receipt",IF(OR(E83="",F83=""),"Complete quality/route",IF(OR(NOT(OR(E83="Yes",E83="No")),NOT(OR(F83="Standard",F83="Assisted",F83="Other"))),"Invalid quality/route","Valid"))))))))))</x:f>
      </x:c>
      <x:c r="L83" s="86" t="str">
        <x:f>IF(AND('01 Setup'!$B$10&lt;&gt;"",B83='01 Setup'!$B$10,G83="Yes",K83="Valid"),I83,"")</x:f>
      </x:c>
      <x:c r="M83" s="86" t="str">
        <x:f>IF(A83="","",IF(AND('01 Setup'!$B$10&lt;&gt;"",B83='01 Setup'!$B$10,G83="Yes",K83="Valid"),1,0))</x:f>
      </x:c>
      <x:c r="N83" s="86" t="str">
        <x:f>IF(AND(A83&lt;&gt;"",D83="",ISNUMBER(C83),ISNUMBER('01 Setup'!$B$31),'01 Setup'!$B$31&gt;=C83),('01 Setup'!$B$31-C83)*'01 Setup'!$B$22,"")</x:f>
      </x:c>
      <x:c r="O83" s="3"/>
      <x:c r="P83" s="3"/>
      <x:c r="Q83" s="3"/>
      <x:c r="R83" s="3"/>
    </x:row>
    <x:row r="84" ht="34" customHeight="1">
      <x:c r="A84" s="46"/>
      <x:c r="B84" s="46"/>
      <x:c r="C84" s="80"/>
      <x:c r="D84" s="80"/>
      <x:c r="E84" s="46"/>
      <x:c r="F84" s="46"/>
      <x:c r="G84" s="46"/>
      <x:c r="H84" s="46"/>
      <x:c r="I84" s="86" t="str">
        <x:f>IF(A84="","",IF(AND(COUNT(C84:D84)=2,D84&gt;=C84),(D84-C84)*'01 Setup'!$B$22,""))</x:f>
      </x:c>
      <x:c r="J84" s="83" t="str">
        <x:f>IF(AND(ISNUMBER(I84),ISNUMBER('01 Setup'!$B$11),'01 Setup'!$B$11&gt;0),IF(I84&lt;='01 Setup'!$B$11,"Yes","No"),"")</x:f>
      </x:c>
      <x:c r="K84" s="83" t="str">
        <x:f>IF(A84="",IF(COUNTA(B84:H84)&gt;0,"Missing case ID",""),IF(COUNTIF($A$10:$A$99,A84)&gt;1,"Duplicate ID",IF(OR(B84="",G84="",H84=""),"Complete phase/eligibility/stop",IF(OR(NOT(OR(G84="Yes",G84="No")),NOT(OR(H84="Yes",H84="No"))),"Invalid eligibility/stop",IF(NOT(ISNUMBER(C84)),"Missing receipt",IF(D84="","Open",IF(NOT(ISNUMBER(D84)),"Invalid delivery",IF(D84&lt;C84,"Delivery before receipt",IF(OR(E84="",F84=""),"Complete quality/route",IF(OR(NOT(OR(E84="Yes",E84="No")),NOT(OR(F84="Standard",F84="Assisted",F84="Other"))),"Invalid quality/route","Valid"))))))))))</x:f>
      </x:c>
      <x:c r="L84" s="86" t="str">
        <x:f>IF(AND('01 Setup'!$B$10&lt;&gt;"",B84='01 Setup'!$B$10,G84="Yes",K84="Valid"),I84,"")</x:f>
      </x:c>
      <x:c r="M84" s="86" t="str">
        <x:f>IF(A84="","",IF(AND('01 Setup'!$B$10&lt;&gt;"",B84='01 Setup'!$B$10,G84="Yes",K84="Valid"),1,0))</x:f>
      </x:c>
      <x:c r="N84" s="86" t="str">
        <x:f>IF(AND(A84&lt;&gt;"",D84="",ISNUMBER(C84),ISNUMBER('01 Setup'!$B$31),'01 Setup'!$B$31&gt;=C84),('01 Setup'!$B$31-C84)*'01 Setup'!$B$22,"")</x:f>
      </x:c>
      <x:c r="O84" s="3"/>
      <x:c r="P84" s="3"/>
      <x:c r="Q84" s="3"/>
      <x:c r="R84" s="3"/>
    </x:row>
    <x:row r="85" ht="34" customHeight="1">
      <x:c r="A85" s="46"/>
      <x:c r="B85" s="46"/>
      <x:c r="C85" s="80"/>
      <x:c r="D85" s="80"/>
      <x:c r="E85" s="46"/>
      <x:c r="F85" s="46"/>
      <x:c r="G85" s="46"/>
      <x:c r="H85" s="46"/>
      <x:c r="I85" s="86" t="str">
        <x:f>IF(A85="","",IF(AND(COUNT(C85:D85)=2,D85&gt;=C85),(D85-C85)*'01 Setup'!$B$22,""))</x:f>
      </x:c>
      <x:c r="J85" s="83" t="str">
        <x:f>IF(AND(ISNUMBER(I85),ISNUMBER('01 Setup'!$B$11),'01 Setup'!$B$11&gt;0),IF(I85&lt;='01 Setup'!$B$11,"Yes","No"),"")</x:f>
      </x:c>
      <x:c r="K85" s="83" t="str">
        <x:f>IF(A85="",IF(COUNTA(B85:H85)&gt;0,"Missing case ID",""),IF(COUNTIF($A$10:$A$99,A85)&gt;1,"Duplicate ID",IF(OR(B85="",G85="",H85=""),"Complete phase/eligibility/stop",IF(OR(NOT(OR(G85="Yes",G85="No")),NOT(OR(H85="Yes",H85="No"))),"Invalid eligibility/stop",IF(NOT(ISNUMBER(C85)),"Missing receipt",IF(D85="","Open",IF(NOT(ISNUMBER(D85)),"Invalid delivery",IF(D85&lt;C85,"Delivery before receipt",IF(OR(E85="",F85=""),"Complete quality/route",IF(OR(NOT(OR(E85="Yes",E85="No")),NOT(OR(F85="Standard",F85="Assisted",F85="Other"))),"Invalid quality/route","Valid"))))))))))</x:f>
      </x:c>
      <x:c r="L85" s="86" t="str">
        <x:f>IF(AND('01 Setup'!$B$10&lt;&gt;"",B85='01 Setup'!$B$10,G85="Yes",K85="Valid"),I85,"")</x:f>
      </x:c>
      <x:c r="M85" s="86" t="str">
        <x:f>IF(A85="","",IF(AND('01 Setup'!$B$10&lt;&gt;"",B85='01 Setup'!$B$10,G85="Yes",K85="Valid"),1,0))</x:f>
      </x:c>
      <x:c r="N85" s="86" t="str">
        <x:f>IF(AND(A85&lt;&gt;"",D85="",ISNUMBER(C85),ISNUMBER('01 Setup'!$B$31),'01 Setup'!$B$31&gt;=C85),('01 Setup'!$B$31-C85)*'01 Setup'!$B$22,"")</x:f>
      </x:c>
      <x:c r="O85" s="3"/>
      <x:c r="P85" s="3"/>
      <x:c r="Q85" s="3"/>
      <x:c r="R85" s="3"/>
    </x:row>
    <x:row r="86" ht="34" customHeight="1">
      <x:c r="A86" s="46"/>
      <x:c r="B86" s="46"/>
      <x:c r="C86" s="80"/>
      <x:c r="D86" s="80"/>
      <x:c r="E86" s="46"/>
      <x:c r="F86" s="46"/>
      <x:c r="G86" s="46"/>
      <x:c r="H86" s="46"/>
      <x:c r="I86" s="86" t="str">
        <x:f>IF(A86="","",IF(AND(COUNT(C86:D86)=2,D86&gt;=C86),(D86-C86)*'01 Setup'!$B$22,""))</x:f>
      </x:c>
      <x:c r="J86" s="83" t="str">
        <x:f>IF(AND(ISNUMBER(I86),ISNUMBER('01 Setup'!$B$11),'01 Setup'!$B$11&gt;0),IF(I86&lt;='01 Setup'!$B$11,"Yes","No"),"")</x:f>
      </x:c>
      <x:c r="K86" s="83" t="str">
        <x:f>IF(A86="",IF(COUNTA(B86:H86)&gt;0,"Missing case ID",""),IF(COUNTIF($A$10:$A$99,A86)&gt;1,"Duplicate ID",IF(OR(B86="",G86="",H86=""),"Complete phase/eligibility/stop",IF(OR(NOT(OR(G86="Yes",G86="No")),NOT(OR(H86="Yes",H86="No"))),"Invalid eligibility/stop",IF(NOT(ISNUMBER(C86)),"Missing receipt",IF(D86="","Open",IF(NOT(ISNUMBER(D86)),"Invalid delivery",IF(D86&lt;C86,"Delivery before receipt",IF(OR(E86="",F86=""),"Complete quality/route",IF(OR(NOT(OR(E86="Yes",E86="No")),NOT(OR(F86="Standard",F86="Assisted",F86="Other"))),"Invalid quality/route","Valid"))))))))))</x:f>
      </x:c>
      <x:c r="L86" s="86" t="str">
        <x:f>IF(AND('01 Setup'!$B$10&lt;&gt;"",B86='01 Setup'!$B$10,G86="Yes",K86="Valid"),I86,"")</x:f>
      </x:c>
      <x:c r="M86" s="86" t="str">
        <x:f>IF(A86="","",IF(AND('01 Setup'!$B$10&lt;&gt;"",B86='01 Setup'!$B$10,G86="Yes",K86="Valid"),1,0))</x:f>
      </x:c>
      <x:c r="N86" s="86" t="str">
        <x:f>IF(AND(A86&lt;&gt;"",D86="",ISNUMBER(C86),ISNUMBER('01 Setup'!$B$31),'01 Setup'!$B$31&gt;=C86),('01 Setup'!$B$31-C86)*'01 Setup'!$B$22,"")</x:f>
      </x:c>
      <x:c r="O86" s="3"/>
      <x:c r="P86" s="3"/>
      <x:c r="Q86" s="3"/>
      <x:c r="R86" s="3"/>
    </x:row>
    <x:row r="87" ht="34" customHeight="1">
      <x:c r="A87" s="46"/>
      <x:c r="B87" s="46"/>
      <x:c r="C87" s="80"/>
      <x:c r="D87" s="80"/>
      <x:c r="E87" s="46"/>
      <x:c r="F87" s="46"/>
      <x:c r="G87" s="46"/>
      <x:c r="H87" s="46"/>
      <x:c r="I87" s="86" t="str">
        <x:f>IF(A87="","",IF(AND(COUNT(C87:D87)=2,D87&gt;=C87),(D87-C87)*'01 Setup'!$B$22,""))</x:f>
      </x:c>
      <x:c r="J87" s="83" t="str">
        <x:f>IF(AND(ISNUMBER(I87),ISNUMBER('01 Setup'!$B$11),'01 Setup'!$B$11&gt;0),IF(I87&lt;='01 Setup'!$B$11,"Yes","No"),"")</x:f>
      </x:c>
      <x:c r="K87" s="83" t="str">
        <x:f>IF(A87="",IF(COUNTA(B87:H87)&gt;0,"Missing case ID",""),IF(COUNTIF($A$10:$A$99,A87)&gt;1,"Duplicate ID",IF(OR(B87="",G87="",H87=""),"Complete phase/eligibility/stop",IF(OR(NOT(OR(G87="Yes",G87="No")),NOT(OR(H87="Yes",H87="No"))),"Invalid eligibility/stop",IF(NOT(ISNUMBER(C87)),"Missing receipt",IF(D87="","Open",IF(NOT(ISNUMBER(D87)),"Invalid delivery",IF(D87&lt;C87,"Delivery before receipt",IF(OR(E87="",F87=""),"Complete quality/route",IF(OR(NOT(OR(E87="Yes",E87="No")),NOT(OR(F87="Standard",F87="Assisted",F87="Other"))),"Invalid quality/route","Valid"))))))))))</x:f>
      </x:c>
      <x:c r="L87" s="86" t="str">
        <x:f>IF(AND('01 Setup'!$B$10&lt;&gt;"",B87='01 Setup'!$B$10,G87="Yes",K87="Valid"),I87,"")</x:f>
      </x:c>
      <x:c r="M87" s="86" t="str">
        <x:f>IF(A87="","",IF(AND('01 Setup'!$B$10&lt;&gt;"",B87='01 Setup'!$B$10,G87="Yes",K87="Valid"),1,0))</x:f>
      </x:c>
      <x:c r="N87" s="86" t="str">
        <x:f>IF(AND(A87&lt;&gt;"",D87="",ISNUMBER(C87),ISNUMBER('01 Setup'!$B$31),'01 Setup'!$B$31&gt;=C87),('01 Setup'!$B$31-C87)*'01 Setup'!$B$22,"")</x:f>
      </x:c>
      <x:c r="O87" s="3"/>
      <x:c r="P87" s="3"/>
      <x:c r="Q87" s="3"/>
      <x:c r="R87" s="3"/>
    </x:row>
    <x:row r="88" ht="34" customHeight="1">
      <x:c r="A88" s="46"/>
      <x:c r="B88" s="46"/>
      <x:c r="C88" s="80"/>
      <x:c r="D88" s="80"/>
      <x:c r="E88" s="46"/>
      <x:c r="F88" s="46"/>
      <x:c r="G88" s="46"/>
      <x:c r="H88" s="46"/>
      <x:c r="I88" s="86" t="str">
        <x:f>IF(A88="","",IF(AND(COUNT(C88:D88)=2,D88&gt;=C88),(D88-C88)*'01 Setup'!$B$22,""))</x:f>
      </x:c>
      <x:c r="J88" s="83" t="str">
        <x:f>IF(AND(ISNUMBER(I88),ISNUMBER('01 Setup'!$B$11),'01 Setup'!$B$11&gt;0),IF(I88&lt;='01 Setup'!$B$11,"Yes","No"),"")</x:f>
      </x:c>
      <x:c r="K88" s="83" t="str">
        <x:f>IF(A88="",IF(COUNTA(B88:H88)&gt;0,"Missing case ID",""),IF(COUNTIF($A$10:$A$99,A88)&gt;1,"Duplicate ID",IF(OR(B88="",G88="",H88=""),"Complete phase/eligibility/stop",IF(OR(NOT(OR(G88="Yes",G88="No")),NOT(OR(H88="Yes",H88="No"))),"Invalid eligibility/stop",IF(NOT(ISNUMBER(C88)),"Missing receipt",IF(D88="","Open",IF(NOT(ISNUMBER(D88)),"Invalid delivery",IF(D88&lt;C88,"Delivery before receipt",IF(OR(E88="",F88=""),"Complete quality/route",IF(OR(NOT(OR(E88="Yes",E88="No")),NOT(OR(F88="Standard",F88="Assisted",F88="Other"))),"Invalid quality/route","Valid"))))))))))</x:f>
      </x:c>
      <x:c r="L88" s="86" t="str">
        <x:f>IF(AND('01 Setup'!$B$10&lt;&gt;"",B88='01 Setup'!$B$10,G88="Yes",K88="Valid"),I88,"")</x:f>
      </x:c>
      <x:c r="M88" s="86" t="str">
        <x:f>IF(A88="","",IF(AND('01 Setup'!$B$10&lt;&gt;"",B88='01 Setup'!$B$10,G88="Yes",K88="Valid"),1,0))</x:f>
      </x:c>
      <x:c r="N88" s="86" t="str">
        <x:f>IF(AND(A88&lt;&gt;"",D88="",ISNUMBER(C88),ISNUMBER('01 Setup'!$B$31),'01 Setup'!$B$31&gt;=C88),('01 Setup'!$B$31-C88)*'01 Setup'!$B$22,"")</x:f>
      </x:c>
      <x:c r="O88" s="3"/>
      <x:c r="P88" s="3"/>
      <x:c r="Q88" s="3"/>
      <x:c r="R88" s="3"/>
    </x:row>
    <x:row r="89" ht="34" customHeight="1">
      <x:c r="A89" s="46"/>
      <x:c r="B89" s="46"/>
      <x:c r="C89" s="80"/>
      <x:c r="D89" s="80"/>
      <x:c r="E89" s="46"/>
      <x:c r="F89" s="46"/>
      <x:c r="G89" s="46"/>
      <x:c r="H89" s="46"/>
      <x:c r="I89" s="86" t="str">
        <x:f>IF(A89="","",IF(AND(COUNT(C89:D89)=2,D89&gt;=C89),(D89-C89)*'01 Setup'!$B$22,""))</x:f>
      </x:c>
      <x:c r="J89" s="83" t="str">
        <x:f>IF(AND(ISNUMBER(I89),ISNUMBER('01 Setup'!$B$11),'01 Setup'!$B$11&gt;0),IF(I89&lt;='01 Setup'!$B$11,"Yes","No"),"")</x:f>
      </x:c>
      <x:c r="K89" s="83" t="str">
        <x:f>IF(A89="",IF(COUNTA(B89:H89)&gt;0,"Missing case ID",""),IF(COUNTIF($A$10:$A$99,A89)&gt;1,"Duplicate ID",IF(OR(B89="",G89="",H89=""),"Complete phase/eligibility/stop",IF(OR(NOT(OR(G89="Yes",G89="No")),NOT(OR(H89="Yes",H89="No"))),"Invalid eligibility/stop",IF(NOT(ISNUMBER(C89)),"Missing receipt",IF(D89="","Open",IF(NOT(ISNUMBER(D89)),"Invalid delivery",IF(D89&lt;C89,"Delivery before receipt",IF(OR(E89="",F89=""),"Complete quality/route",IF(OR(NOT(OR(E89="Yes",E89="No")),NOT(OR(F89="Standard",F89="Assisted",F89="Other"))),"Invalid quality/route","Valid"))))))))))</x:f>
      </x:c>
      <x:c r="L89" s="86" t="str">
        <x:f>IF(AND('01 Setup'!$B$10&lt;&gt;"",B89='01 Setup'!$B$10,G89="Yes",K89="Valid"),I89,"")</x:f>
      </x:c>
      <x:c r="M89" s="86" t="str">
        <x:f>IF(A89="","",IF(AND('01 Setup'!$B$10&lt;&gt;"",B89='01 Setup'!$B$10,G89="Yes",K89="Valid"),1,0))</x:f>
      </x:c>
      <x:c r="N89" s="86" t="str">
        <x:f>IF(AND(A89&lt;&gt;"",D89="",ISNUMBER(C89),ISNUMBER('01 Setup'!$B$31),'01 Setup'!$B$31&gt;=C89),('01 Setup'!$B$31-C89)*'01 Setup'!$B$22,"")</x:f>
      </x:c>
      <x:c r="O89" s="3"/>
      <x:c r="P89" s="3"/>
      <x:c r="Q89" s="3"/>
      <x:c r="R89" s="3"/>
    </x:row>
    <x:row r="90" ht="34" customHeight="1">
      <x:c r="A90" s="46"/>
      <x:c r="B90" s="46"/>
      <x:c r="C90" s="80"/>
      <x:c r="D90" s="80"/>
      <x:c r="E90" s="46"/>
      <x:c r="F90" s="46"/>
      <x:c r="G90" s="46"/>
      <x:c r="H90" s="46"/>
      <x:c r="I90" s="86" t="str">
        <x:f>IF(A90="","",IF(AND(COUNT(C90:D90)=2,D90&gt;=C90),(D90-C90)*'01 Setup'!$B$22,""))</x:f>
      </x:c>
      <x:c r="J90" s="83" t="str">
        <x:f>IF(AND(ISNUMBER(I90),ISNUMBER('01 Setup'!$B$11),'01 Setup'!$B$11&gt;0),IF(I90&lt;='01 Setup'!$B$11,"Yes","No"),"")</x:f>
      </x:c>
      <x:c r="K90" s="83" t="str">
        <x:f>IF(A90="",IF(COUNTA(B90:H90)&gt;0,"Missing case ID",""),IF(COUNTIF($A$10:$A$99,A90)&gt;1,"Duplicate ID",IF(OR(B90="",G90="",H90=""),"Complete phase/eligibility/stop",IF(OR(NOT(OR(G90="Yes",G90="No")),NOT(OR(H90="Yes",H90="No"))),"Invalid eligibility/stop",IF(NOT(ISNUMBER(C90)),"Missing receipt",IF(D90="","Open",IF(NOT(ISNUMBER(D90)),"Invalid delivery",IF(D90&lt;C90,"Delivery before receipt",IF(OR(E90="",F90=""),"Complete quality/route",IF(OR(NOT(OR(E90="Yes",E90="No")),NOT(OR(F90="Standard",F90="Assisted",F90="Other"))),"Invalid quality/route","Valid"))))))))))</x:f>
      </x:c>
      <x:c r="L90" s="86" t="str">
        <x:f>IF(AND('01 Setup'!$B$10&lt;&gt;"",B90='01 Setup'!$B$10,G90="Yes",K90="Valid"),I90,"")</x:f>
      </x:c>
      <x:c r="M90" s="86" t="str">
        <x:f>IF(A90="","",IF(AND('01 Setup'!$B$10&lt;&gt;"",B90='01 Setup'!$B$10,G90="Yes",K90="Valid"),1,0))</x:f>
      </x:c>
      <x:c r="N90" s="86" t="str">
        <x:f>IF(AND(A90&lt;&gt;"",D90="",ISNUMBER(C90),ISNUMBER('01 Setup'!$B$31),'01 Setup'!$B$31&gt;=C90),('01 Setup'!$B$31-C90)*'01 Setup'!$B$22,"")</x:f>
      </x:c>
      <x:c r="O90" s="3"/>
      <x:c r="P90" s="3"/>
      <x:c r="Q90" s="3"/>
      <x:c r="R90" s="3"/>
    </x:row>
    <x:row r="91" ht="34" customHeight="1">
      <x:c r="A91" s="46"/>
      <x:c r="B91" s="46"/>
      <x:c r="C91" s="80"/>
      <x:c r="D91" s="80"/>
      <x:c r="E91" s="46"/>
      <x:c r="F91" s="46"/>
      <x:c r="G91" s="46"/>
      <x:c r="H91" s="46"/>
      <x:c r="I91" s="86" t="str">
        <x:f>IF(A91="","",IF(AND(COUNT(C91:D91)=2,D91&gt;=C91),(D91-C91)*'01 Setup'!$B$22,""))</x:f>
      </x:c>
      <x:c r="J91" s="83" t="str">
        <x:f>IF(AND(ISNUMBER(I91),ISNUMBER('01 Setup'!$B$11),'01 Setup'!$B$11&gt;0),IF(I91&lt;='01 Setup'!$B$11,"Yes","No"),"")</x:f>
      </x:c>
      <x:c r="K91" s="83" t="str">
        <x:f>IF(A91="",IF(COUNTA(B91:H91)&gt;0,"Missing case ID",""),IF(COUNTIF($A$10:$A$99,A91)&gt;1,"Duplicate ID",IF(OR(B91="",G91="",H91=""),"Complete phase/eligibility/stop",IF(OR(NOT(OR(G91="Yes",G91="No")),NOT(OR(H91="Yes",H91="No"))),"Invalid eligibility/stop",IF(NOT(ISNUMBER(C91)),"Missing receipt",IF(D91="","Open",IF(NOT(ISNUMBER(D91)),"Invalid delivery",IF(D91&lt;C91,"Delivery before receipt",IF(OR(E91="",F91=""),"Complete quality/route",IF(OR(NOT(OR(E91="Yes",E91="No")),NOT(OR(F91="Standard",F91="Assisted",F91="Other"))),"Invalid quality/route","Valid"))))))))))</x:f>
      </x:c>
      <x:c r="L91" s="86" t="str">
        <x:f>IF(AND('01 Setup'!$B$10&lt;&gt;"",B91='01 Setup'!$B$10,G91="Yes",K91="Valid"),I91,"")</x:f>
      </x:c>
      <x:c r="M91" s="86" t="str">
        <x:f>IF(A91="","",IF(AND('01 Setup'!$B$10&lt;&gt;"",B91='01 Setup'!$B$10,G91="Yes",K91="Valid"),1,0))</x:f>
      </x:c>
      <x:c r="N91" s="86" t="str">
        <x:f>IF(AND(A91&lt;&gt;"",D91="",ISNUMBER(C91),ISNUMBER('01 Setup'!$B$31),'01 Setup'!$B$31&gt;=C91),('01 Setup'!$B$31-C91)*'01 Setup'!$B$22,"")</x:f>
      </x:c>
      <x:c r="O91" s="3"/>
      <x:c r="P91" s="3"/>
      <x:c r="Q91" s="3"/>
      <x:c r="R91" s="3"/>
    </x:row>
    <x:row r="92" ht="34" customHeight="1">
      <x:c r="A92" s="46"/>
      <x:c r="B92" s="46"/>
      <x:c r="C92" s="80"/>
      <x:c r="D92" s="80"/>
      <x:c r="E92" s="46"/>
      <x:c r="F92" s="46"/>
      <x:c r="G92" s="46"/>
      <x:c r="H92" s="46"/>
      <x:c r="I92" s="86" t="str">
        <x:f>IF(A92="","",IF(AND(COUNT(C92:D92)=2,D92&gt;=C92),(D92-C92)*'01 Setup'!$B$22,""))</x:f>
      </x:c>
      <x:c r="J92" s="83" t="str">
        <x:f>IF(AND(ISNUMBER(I92),ISNUMBER('01 Setup'!$B$11),'01 Setup'!$B$11&gt;0),IF(I92&lt;='01 Setup'!$B$11,"Yes","No"),"")</x:f>
      </x:c>
      <x:c r="K92" s="83" t="str">
        <x:f>IF(A92="",IF(COUNTA(B92:H92)&gt;0,"Missing case ID",""),IF(COUNTIF($A$10:$A$99,A92)&gt;1,"Duplicate ID",IF(OR(B92="",G92="",H92=""),"Complete phase/eligibility/stop",IF(OR(NOT(OR(G92="Yes",G92="No")),NOT(OR(H92="Yes",H92="No"))),"Invalid eligibility/stop",IF(NOT(ISNUMBER(C92)),"Missing receipt",IF(D92="","Open",IF(NOT(ISNUMBER(D92)),"Invalid delivery",IF(D92&lt;C92,"Delivery before receipt",IF(OR(E92="",F92=""),"Complete quality/route",IF(OR(NOT(OR(E92="Yes",E92="No")),NOT(OR(F92="Standard",F92="Assisted",F92="Other"))),"Invalid quality/route","Valid"))))))))))</x:f>
      </x:c>
      <x:c r="L92" s="86" t="str">
        <x:f>IF(AND('01 Setup'!$B$10&lt;&gt;"",B92='01 Setup'!$B$10,G92="Yes",K92="Valid"),I92,"")</x:f>
      </x:c>
      <x:c r="M92" s="86" t="str">
        <x:f>IF(A92="","",IF(AND('01 Setup'!$B$10&lt;&gt;"",B92='01 Setup'!$B$10,G92="Yes",K92="Valid"),1,0))</x:f>
      </x:c>
      <x:c r="N92" s="86" t="str">
        <x:f>IF(AND(A92&lt;&gt;"",D92="",ISNUMBER(C92),ISNUMBER('01 Setup'!$B$31),'01 Setup'!$B$31&gt;=C92),('01 Setup'!$B$31-C92)*'01 Setup'!$B$22,"")</x:f>
      </x:c>
      <x:c r="O92" s="3"/>
      <x:c r="P92" s="3"/>
      <x:c r="Q92" s="3"/>
      <x:c r="R92" s="3"/>
    </x:row>
    <x:row r="93" ht="34" customHeight="1">
      <x:c r="A93" s="46"/>
      <x:c r="B93" s="46"/>
      <x:c r="C93" s="80"/>
      <x:c r="D93" s="80"/>
      <x:c r="E93" s="46"/>
      <x:c r="F93" s="46"/>
      <x:c r="G93" s="46"/>
      <x:c r="H93" s="46"/>
      <x:c r="I93" s="86" t="str">
        <x:f>IF(A93="","",IF(AND(COUNT(C93:D93)=2,D93&gt;=C93),(D93-C93)*'01 Setup'!$B$22,""))</x:f>
      </x:c>
      <x:c r="J93" s="83" t="str">
        <x:f>IF(AND(ISNUMBER(I93),ISNUMBER('01 Setup'!$B$11),'01 Setup'!$B$11&gt;0),IF(I93&lt;='01 Setup'!$B$11,"Yes","No"),"")</x:f>
      </x:c>
      <x:c r="K93" s="83" t="str">
        <x:f>IF(A93="",IF(COUNTA(B93:H93)&gt;0,"Missing case ID",""),IF(COUNTIF($A$10:$A$99,A93)&gt;1,"Duplicate ID",IF(OR(B93="",G93="",H93=""),"Complete phase/eligibility/stop",IF(OR(NOT(OR(G93="Yes",G93="No")),NOT(OR(H93="Yes",H93="No"))),"Invalid eligibility/stop",IF(NOT(ISNUMBER(C93)),"Missing receipt",IF(D93="","Open",IF(NOT(ISNUMBER(D93)),"Invalid delivery",IF(D93&lt;C93,"Delivery before receipt",IF(OR(E93="",F93=""),"Complete quality/route",IF(OR(NOT(OR(E93="Yes",E93="No")),NOT(OR(F93="Standard",F93="Assisted",F93="Other"))),"Invalid quality/route","Valid"))))))))))</x:f>
      </x:c>
      <x:c r="L93" s="86" t="str">
        <x:f>IF(AND('01 Setup'!$B$10&lt;&gt;"",B93='01 Setup'!$B$10,G93="Yes",K93="Valid"),I93,"")</x:f>
      </x:c>
      <x:c r="M93" s="86" t="str">
        <x:f>IF(A93="","",IF(AND('01 Setup'!$B$10&lt;&gt;"",B93='01 Setup'!$B$10,G93="Yes",K93="Valid"),1,0))</x:f>
      </x:c>
      <x:c r="N93" s="86" t="str">
        <x:f>IF(AND(A93&lt;&gt;"",D93="",ISNUMBER(C93),ISNUMBER('01 Setup'!$B$31),'01 Setup'!$B$31&gt;=C93),('01 Setup'!$B$31-C93)*'01 Setup'!$B$22,"")</x:f>
      </x:c>
      <x:c r="O93" s="3"/>
      <x:c r="P93" s="3"/>
      <x:c r="Q93" s="3"/>
      <x:c r="R93" s="3"/>
    </x:row>
    <x:row r="94" ht="34" customHeight="1">
      <x:c r="A94" s="46"/>
      <x:c r="B94" s="46"/>
      <x:c r="C94" s="80"/>
      <x:c r="D94" s="80"/>
      <x:c r="E94" s="46"/>
      <x:c r="F94" s="46"/>
      <x:c r="G94" s="46"/>
      <x:c r="H94" s="46"/>
      <x:c r="I94" s="86" t="str">
        <x:f>IF(A94="","",IF(AND(COUNT(C94:D94)=2,D94&gt;=C94),(D94-C94)*'01 Setup'!$B$22,""))</x:f>
      </x:c>
      <x:c r="J94" s="83" t="str">
        <x:f>IF(AND(ISNUMBER(I94),ISNUMBER('01 Setup'!$B$11),'01 Setup'!$B$11&gt;0),IF(I94&lt;='01 Setup'!$B$11,"Yes","No"),"")</x:f>
      </x:c>
      <x:c r="K94" s="83" t="str">
        <x:f>IF(A94="",IF(COUNTA(B94:H94)&gt;0,"Missing case ID",""),IF(COUNTIF($A$10:$A$99,A94)&gt;1,"Duplicate ID",IF(OR(B94="",G94="",H94=""),"Complete phase/eligibility/stop",IF(OR(NOT(OR(G94="Yes",G94="No")),NOT(OR(H94="Yes",H94="No"))),"Invalid eligibility/stop",IF(NOT(ISNUMBER(C94)),"Missing receipt",IF(D94="","Open",IF(NOT(ISNUMBER(D94)),"Invalid delivery",IF(D94&lt;C94,"Delivery before receipt",IF(OR(E94="",F94=""),"Complete quality/route",IF(OR(NOT(OR(E94="Yes",E94="No")),NOT(OR(F94="Standard",F94="Assisted",F94="Other"))),"Invalid quality/route","Valid"))))))))))</x:f>
      </x:c>
      <x:c r="L94" s="86" t="str">
        <x:f>IF(AND('01 Setup'!$B$10&lt;&gt;"",B94='01 Setup'!$B$10,G94="Yes",K94="Valid"),I94,"")</x:f>
      </x:c>
      <x:c r="M94" s="86" t="str">
        <x:f>IF(A94="","",IF(AND('01 Setup'!$B$10&lt;&gt;"",B94='01 Setup'!$B$10,G94="Yes",K94="Valid"),1,0))</x:f>
      </x:c>
      <x:c r="N94" s="86" t="str">
        <x:f>IF(AND(A94&lt;&gt;"",D94="",ISNUMBER(C94),ISNUMBER('01 Setup'!$B$31),'01 Setup'!$B$31&gt;=C94),('01 Setup'!$B$31-C94)*'01 Setup'!$B$22,"")</x:f>
      </x:c>
      <x:c r="O94" s="3"/>
      <x:c r="P94" s="3"/>
      <x:c r="Q94" s="3"/>
      <x:c r="R94" s="3"/>
    </x:row>
    <x:row r="95" ht="34" customHeight="1">
      <x:c r="A95" s="46"/>
      <x:c r="B95" s="46"/>
      <x:c r="C95" s="80"/>
      <x:c r="D95" s="80"/>
      <x:c r="E95" s="46"/>
      <x:c r="F95" s="46"/>
      <x:c r="G95" s="46"/>
      <x:c r="H95" s="46"/>
      <x:c r="I95" s="86" t="str">
        <x:f>IF(A95="","",IF(AND(COUNT(C95:D95)=2,D95&gt;=C95),(D95-C95)*'01 Setup'!$B$22,""))</x:f>
      </x:c>
      <x:c r="J95" s="83" t="str">
        <x:f>IF(AND(ISNUMBER(I95),ISNUMBER('01 Setup'!$B$11),'01 Setup'!$B$11&gt;0),IF(I95&lt;='01 Setup'!$B$11,"Yes","No"),"")</x:f>
      </x:c>
      <x:c r="K95" s="83" t="str">
        <x:f>IF(A95="",IF(COUNTA(B95:H95)&gt;0,"Missing case ID",""),IF(COUNTIF($A$10:$A$99,A95)&gt;1,"Duplicate ID",IF(OR(B95="",G95="",H95=""),"Complete phase/eligibility/stop",IF(OR(NOT(OR(G95="Yes",G95="No")),NOT(OR(H95="Yes",H95="No"))),"Invalid eligibility/stop",IF(NOT(ISNUMBER(C95)),"Missing receipt",IF(D95="","Open",IF(NOT(ISNUMBER(D95)),"Invalid delivery",IF(D95&lt;C95,"Delivery before receipt",IF(OR(E95="",F95=""),"Complete quality/route",IF(OR(NOT(OR(E95="Yes",E95="No")),NOT(OR(F95="Standard",F95="Assisted",F95="Other"))),"Invalid quality/route","Valid"))))))))))</x:f>
      </x:c>
      <x:c r="L95" s="86" t="str">
        <x:f>IF(AND('01 Setup'!$B$10&lt;&gt;"",B95='01 Setup'!$B$10,G95="Yes",K95="Valid"),I95,"")</x:f>
      </x:c>
      <x:c r="M95" s="86" t="str">
        <x:f>IF(A95="","",IF(AND('01 Setup'!$B$10&lt;&gt;"",B95='01 Setup'!$B$10,G95="Yes",K95="Valid"),1,0))</x:f>
      </x:c>
      <x:c r="N95" s="86" t="str">
        <x:f>IF(AND(A95&lt;&gt;"",D95="",ISNUMBER(C95),ISNUMBER('01 Setup'!$B$31),'01 Setup'!$B$31&gt;=C95),('01 Setup'!$B$31-C95)*'01 Setup'!$B$22,"")</x:f>
      </x:c>
      <x:c r="O95" s="3"/>
      <x:c r="P95" s="3"/>
      <x:c r="Q95" s="3"/>
      <x:c r="R95" s="3"/>
    </x:row>
    <x:row r="96" ht="34" customHeight="1">
      <x:c r="A96" s="46"/>
      <x:c r="B96" s="46"/>
      <x:c r="C96" s="80"/>
      <x:c r="D96" s="80"/>
      <x:c r="E96" s="46"/>
      <x:c r="F96" s="46"/>
      <x:c r="G96" s="46"/>
      <x:c r="H96" s="46"/>
      <x:c r="I96" s="86" t="str">
        <x:f>IF(A96="","",IF(AND(COUNT(C96:D96)=2,D96&gt;=C96),(D96-C96)*'01 Setup'!$B$22,""))</x:f>
      </x:c>
      <x:c r="J96" s="83" t="str">
        <x:f>IF(AND(ISNUMBER(I96),ISNUMBER('01 Setup'!$B$11),'01 Setup'!$B$11&gt;0),IF(I96&lt;='01 Setup'!$B$11,"Yes","No"),"")</x:f>
      </x:c>
      <x:c r="K96" s="83" t="str">
        <x:f>IF(A96="",IF(COUNTA(B96:H96)&gt;0,"Missing case ID",""),IF(COUNTIF($A$10:$A$99,A96)&gt;1,"Duplicate ID",IF(OR(B96="",G96="",H96=""),"Complete phase/eligibility/stop",IF(OR(NOT(OR(G96="Yes",G96="No")),NOT(OR(H96="Yes",H96="No"))),"Invalid eligibility/stop",IF(NOT(ISNUMBER(C96)),"Missing receipt",IF(D96="","Open",IF(NOT(ISNUMBER(D96)),"Invalid delivery",IF(D96&lt;C96,"Delivery before receipt",IF(OR(E96="",F96=""),"Complete quality/route",IF(OR(NOT(OR(E96="Yes",E96="No")),NOT(OR(F96="Standard",F96="Assisted",F96="Other"))),"Invalid quality/route","Valid"))))))))))</x:f>
      </x:c>
      <x:c r="L96" s="86" t="str">
        <x:f>IF(AND('01 Setup'!$B$10&lt;&gt;"",B96='01 Setup'!$B$10,G96="Yes",K96="Valid"),I96,"")</x:f>
      </x:c>
      <x:c r="M96" s="86" t="str">
        <x:f>IF(A96="","",IF(AND('01 Setup'!$B$10&lt;&gt;"",B96='01 Setup'!$B$10,G96="Yes",K96="Valid"),1,0))</x:f>
      </x:c>
      <x:c r="N96" s="86" t="str">
        <x:f>IF(AND(A96&lt;&gt;"",D96="",ISNUMBER(C96),ISNUMBER('01 Setup'!$B$31),'01 Setup'!$B$31&gt;=C96),('01 Setup'!$B$31-C96)*'01 Setup'!$B$22,"")</x:f>
      </x:c>
      <x:c r="O96" s="3"/>
      <x:c r="P96" s="3"/>
      <x:c r="Q96" s="3"/>
      <x:c r="R96" s="3"/>
    </x:row>
    <x:row r="97" ht="34" customHeight="1">
      <x:c r="A97" s="46"/>
      <x:c r="B97" s="46"/>
      <x:c r="C97" s="80"/>
      <x:c r="D97" s="80"/>
      <x:c r="E97" s="46"/>
      <x:c r="F97" s="46"/>
      <x:c r="G97" s="46"/>
      <x:c r="H97" s="46"/>
      <x:c r="I97" s="86" t="str">
        <x:f>IF(A97="","",IF(AND(COUNT(C97:D97)=2,D97&gt;=C97),(D97-C97)*'01 Setup'!$B$22,""))</x:f>
      </x:c>
      <x:c r="J97" s="83" t="str">
        <x:f>IF(AND(ISNUMBER(I97),ISNUMBER('01 Setup'!$B$11),'01 Setup'!$B$11&gt;0),IF(I97&lt;='01 Setup'!$B$11,"Yes","No"),"")</x:f>
      </x:c>
      <x:c r="K97" s="83" t="str">
        <x:f>IF(A97="",IF(COUNTA(B97:H97)&gt;0,"Missing case ID",""),IF(COUNTIF($A$10:$A$99,A97)&gt;1,"Duplicate ID",IF(OR(B97="",G97="",H97=""),"Complete phase/eligibility/stop",IF(OR(NOT(OR(G97="Yes",G97="No")),NOT(OR(H97="Yes",H97="No"))),"Invalid eligibility/stop",IF(NOT(ISNUMBER(C97)),"Missing receipt",IF(D97="","Open",IF(NOT(ISNUMBER(D97)),"Invalid delivery",IF(D97&lt;C97,"Delivery before receipt",IF(OR(E97="",F97=""),"Complete quality/route",IF(OR(NOT(OR(E97="Yes",E97="No")),NOT(OR(F97="Standard",F97="Assisted",F97="Other"))),"Invalid quality/route","Valid"))))))))))</x:f>
      </x:c>
      <x:c r="L97" s="86" t="str">
        <x:f>IF(AND('01 Setup'!$B$10&lt;&gt;"",B97='01 Setup'!$B$10,G97="Yes",K97="Valid"),I97,"")</x:f>
      </x:c>
      <x:c r="M97" s="86" t="str">
        <x:f>IF(A97="","",IF(AND('01 Setup'!$B$10&lt;&gt;"",B97='01 Setup'!$B$10,G97="Yes",K97="Valid"),1,0))</x:f>
      </x:c>
      <x:c r="N97" s="86" t="str">
        <x:f>IF(AND(A97&lt;&gt;"",D97="",ISNUMBER(C97),ISNUMBER('01 Setup'!$B$31),'01 Setup'!$B$31&gt;=C97),('01 Setup'!$B$31-C97)*'01 Setup'!$B$22,"")</x:f>
      </x:c>
      <x:c r="O97" s="3"/>
      <x:c r="P97" s="3"/>
      <x:c r="Q97" s="3"/>
      <x:c r="R97" s="3"/>
    </x:row>
    <x:row r="98" ht="34" customHeight="1">
      <x:c r="A98" s="46"/>
      <x:c r="B98" s="46"/>
      <x:c r="C98" s="80"/>
      <x:c r="D98" s="80"/>
      <x:c r="E98" s="46"/>
      <x:c r="F98" s="46"/>
      <x:c r="G98" s="46"/>
      <x:c r="H98" s="46"/>
      <x:c r="I98" s="86" t="str">
        <x:f>IF(A98="","",IF(AND(COUNT(C98:D98)=2,D98&gt;=C98),(D98-C98)*'01 Setup'!$B$22,""))</x:f>
      </x:c>
      <x:c r="J98" s="83" t="str">
        <x:f>IF(AND(ISNUMBER(I98),ISNUMBER('01 Setup'!$B$11),'01 Setup'!$B$11&gt;0),IF(I98&lt;='01 Setup'!$B$11,"Yes","No"),"")</x:f>
      </x:c>
      <x:c r="K98" s="83" t="str">
        <x:f>IF(A98="",IF(COUNTA(B98:H98)&gt;0,"Missing case ID",""),IF(COUNTIF($A$10:$A$99,A98)&gt;1,"Duplicate ID",IF(OR(B98="",G98="",H98=""),"Complete phase/eligibility/stop",IF(OR(NOT(OR(G98="Yes",G98="No")),NOT(OR(H98="Yes",H98="No"))),"Invalid eligibility/stop",IF(NOT(ISNUMBER(C98)),"Missing receipt",IF(D98="","Open",IF(NOT(ISNUMBER(D98)),"Invalid delivery",IF(D98&lt;C98,"Delivery before receipt",IF(OR(E98="",F98=""),"Complete quality/route",IF(OR(NOT(OR(E98="Yes",E98="No")),NOT(OR(F98="Standard",F98="Assisted",F98="Other"))),"Invalid quality/route","Valid"))))))))))</x:f>
      </x:c>
      <x:c r="L98" s="86" t="str">
        <x:f>IF(AND('01 Setup'!$B$10&lt;&gt;"",B98='01 Setup'!$B$10,G98="Yes",K98="Valid"),I98,"")</x:f>
      </x:c>
      <x:c r="M98" s="86" t="str">
        <x:f>IF(A98="","",IF(AND('01 Setup'!$B$10&lt;&gt;"",B98='01 Setup'!$B$10,G98="Yes",K98="Valid"),1,0))</x:f>
      </x:c>
      <x:c r="N98" s="86" t="str">
        <x:f>IF(AND(A98&lt;&gt;"",D98="",ISNUMBER(C98),ISNUMBER('01 Setup'!$B$31),'01 Setup'!$B$31&gt;=C98),('01 Setup'!$B$31-C98)*'01 Setup'!$B$22,"")</x:f>
      </x:c>
      <x:c r="O98" s="3"/>
      <x:c r="P98" s="3"/>
      <x:c r="Q98" s="3"/>
      <x:c r="R98" s="3"/>
    </x:row>
    <x:row r="99" ht="34" customHeight="1">
      <x:c r="A99" s="46"/>
      <x:c r="B99" s="46"/>
      <x:c r="C99" s="80"/>
      <x:c r="D99" s="80"/>
      <x:c r="E99" s="46"/>
      <x:c r="F99" s="46"/>
      <x:c r="G99" s="46"/>
      <x:c r="H99" s="46"/>
      <x:c r="I99" s="86" t="str">
        <x:f>IF(A99="","",IF(AND(COUNT(C99:D99)=2,D99&gt;=C99),(D99-C99)*'01 Setup'!$B$22,""))</x:f>
      </x:c>
      <x:c r="J99" s="83" t="str">
        <x:f>IF(AND(ISNUMBER(I99),ISNUMBER('01 Setup'!$B$11),'01 Setup'!$B$11&gt;0),IF(I99&lt;='01 Setup'!$B$11,"Yes","No"),"")</x:f>
      </x:c>
      <x:c r="K99" s="83" t="str">
        <x:f>IF(A99="",IF(COUNTA(B99:H99)&gt;0,"Missing case ID",""),IF(COUNTIF($A$10:$A$99,A99)&gt;1,"Duplicate ID",IF(OR(B99="",G99="",H99=""),"Complete phase/eligibility/stop",IF(OR(NOT(OR(G99="Yes",G99="No")),NOT(OR(H99="Yes",H99="No"))),"Invalid eligibility/stop",IF(NOT(ISNUMBER(C99)),"Missing receipt",IF(D99="","Open",IF(NOT(ISNUMBER(D99)),"Invalid delivery",IF(D99&lt;C99,"Delivery before receipt",IF(OR(E99="",F99=""),"Complete quality/route",IF(OR(NOT(OR(E99="Yes",E99="No")),NOT(OR(F99="Standard",F99="Assisted",F99="Other"))),"Invalid quality/route","Valid"))))))))))</x:f>
      </x:c>
      <x:c r="L99" s="86" t="str">
        <x:f>IF(AND('01 Setup'!$B$10&lt;&gt;"",B99='01 Setup'!$B$10,G99="Yes",K99="Valid"),I99,"")</x:f>
      </x:c>
      <x:c r="M99" s="86" t="str">
        <x:f>IF(A99="","",IF(AND('01 Setup'!$B$10&lt;&gt;"",B99='01 Setup'!$B$10,G99="Yes",K99="Valid"),1,0))</x:f>
      </x:c>
      <x:c r="N99" s="86" t="str">
        <x:f>IF(AND(A99&lt;&gt;"",D99="",ISNUMBER(C99),ISNUMBER('01 Setup'!$B$31),'01 Setup'!$B$31&gt;=C99),('01 Setup'!$B$31-C99)*'01 Setup'!$B$22,"")</x:f>
      </x:c>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17" t="str">
        <x:v>BOUNDARY: 90 prepared records. Completed-case dashboard uses only Valid, eligible records in the selected phase. Open cases and data gaps remain visible. Start = first receipt, including incomplete intake. Secure delivery is the finish. Dates must use one declared time convention.</x:v>
      </x:c>
      <x:c r="B102" s="17"/>
      <x:c r="C102" s="17"/>
      <x:c r="D102" s="17"/>
      <x:c r="E102" s="17"/>
      <x:c r="F102" s="17"/>
      <x:c r="G102" s="17"/>
      <x:c r="H102" s="17"/>
      <x:c r="I102" s="17"/>
      <x:c r="J102" s="17"/>
      <x:c r="K102" s="17"/>
      <x:c r="L102" s="17"/>
      <x:c r="M102" s="3"/>
      <x:c r="N102" s="3"/>
      <x:c r="O102" s="3"/>
      <x:c r="P102" s="3"/>
      <x:c r="Q102" s="3"/>
      <x:c r="R102" s="3"/>
    </x:row>
    <x:row r="103" ht="20" customHeight="1">
      <x:c r="A103" s="17"/>
      <x:c r="B103" s="17"/>
      <x:c r="C103" s="17"/>
      <x:c r="D103" s="17"/>
      <x:c r="E103" s="17"/>
      <x:c r="F103" s="17"/>
      <x:c r="G103" s="17"/>
      <x:c r="H103" s="17"/>
      <x:c r="I103" s="17"/>
      <x:c r="J103" s="17"/>
      <x:c r="K103" s="17"/>
      <x:c r="L103" s="17"/>
      <x:c r="M103" s="3"/>
      <x:c r="N103" s="3"/>
      <x:c r="O103" s="3"/>
      <x:c r="P103" s="3"/>
      <x:c r="Q103" s="3"/>
      <x:c r="R103" s="3"/>
    </x:row>
    <x:row r="104" ht="20" customHeight="1">
      <x:c r="A104" s="17"/>
      <x:c r="B104" s="17"/>
      <x:c r="C104" s="17"/>
      <x:c r="D104" s="17"/>
      <x:c r="E104" s="17"/>
      <x:c r="F104" s="17"/>
      <x:c r="G104" s="17"/>
      <x:c r="H104" s="17"/>
      <x:c r="I104" s="17"/>
      <x:c r="J104" s="17"/>
      <x:c r="K104" s="17"/>
      <x:c r="L104" s="17"/>
      <x:c r="M104" s="3"/>
      <x:c r="N104" s="3"/>
      <x:c r="O104" s="3"/>
      <x:c r="P104" s="3"/>
      <x:c r="Q104" s="3"/>
      <x:c r="R104" s="3"/>
    </x:row>
    <x:row r="105" ht="20" customHeight="1">
      <x:c r="A105" s="17"/>
      <x:c r="B105" s="17"/>
      <x:c r="C105" s="17"/>
      <x:c r="D105" s="17"/>
      <x:c r="E105" s="17"/>
      <x:c r="F105" s="17"/>
      <x:c r="G105" s="17"/>
      <x:c r="H105" s="17"/>
      <x:c r="I105" s="17"/>
      <x:c r="J105" s="17"/>
      <x:c r="K105" s="17"/>
      <x:c r="L105" s="17"/>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D04</x:v>
      </x:c>
      <x:c r="B110" s="34"/>
      <x:c r="C110" s="34"/>
      <x:c r="D110" s="34"/>
      <x:c r="E110" s="34"/>
      <x:c r="F110" s="34"/>
      <x:c r="G110" s="34"/>
      <x:c r="H110" s="34"/>
      <x:c r="I110" s="34"/>
      <x:c r="J110" s="34"/>
      <x:c r="K110" s="34"/>
      <x:c r="L110" s="34"/>
      <x:c r="M110" s="3"/>
      <x:c r="N110" s="3"/>
      <x:c r="O110" s="3"/>
      <x:c r="P110" s="3"/>
      <x:c r="Q110" s="3"/>
      <x:c r="R110" s="3"/>
    </x:row>
    <x:row r="111" ht="20" customHeight="1">
      <x:c r="A111" s="40" t="str">
        <x:v>01  Record identity</x:v>
      </x:c>
      <x:c r="B111" s="40"/>
      <x:c r="C111" s="40"/>
      <x:c r="D111" s="17" t="str">
        <x:v>Define the ID, cycle and phase fields.</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Timestamp rules</x:v>
      </x:c>
      <x:c r="B117" s="40"/>
      <x:c r="C117" s="40"/>
      <x:c r="D117" s="17" t="str">
        <x:v>Define receipt, delivery and the time basis.</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Quality and effort fields</x:v>
      </x:c>
      <x:c r="B123" s="40"/>
      <x:c r="C123" s="40"/>
      <x:c r="D123" s="17" t="str">
        <x:v>State valid outcome codes and units.</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Population and denominator</x:v>
      </x:c>
      <x:c r="B129" s="40"/>
      <x:c r="C129" s="40"/>
      <x:c r="D129" s="17" t="str">
        <x:v>State the inclusion and cohort rules.</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Validation and review</x:v>
      </x:c>
      <x:c r="B135" s="40"/>
      <x:c r="C135" s="40"/>
      <x:c r="D135" s="17" t="str">
        <x:v>Describe checks before results are used.</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Extract and decision reference</x:v>
      </x:c>
      <x:c r="B141" s="40"/>
      <x:c r="C141" s="40"/>
      <x:c r="D141" s="17" t="str">
        <x:v>Record the evidence version used in Study.</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The workbook is not a secure case-management system and does not enforce access control. Do not enter names, identifiers that can be readily linked by casual readers, salary data or personal documents. Unresolved cases need a backlog review; completed-case lead time alone can hide delays.</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S01, S02, S03, S09  |  METHOD SOURCES: U01, R03</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 ref="A102:L105"/>
  </x:mergeCells>
  <x:conditionalFormatting sqref="K10:K99">
    <x:cfRule type="expression" dxfId="0" priority="1">
      <x:formula>AND($A10&lt;&gt;"",$K10&lt;&gt;"Valid",$K10&lt;&gt;"Open")</x:formula>
    </x:cfRule>
  </x:conditionalFormatting>
  <x:conditionalFormatting sqref="H10:H99">
    <x:cfRule type="expression" dxfId="1" priority="2">
      <x:formula>$H10="Yes"</x:formula>
    </x:cfRule>
  </x:conditionalFormatting>
  <x:dataValidations count="3">
    <x:dataValidation type="list" sqref="E10:E99">
      <x:formula1>"Yes,No"</x:formula1>
    </x:dataValidation>
    <x:dataValidation type="list" sqref="G10:H99">
      <x:formula1>"Yes,No"</x:formula1>
    </x:dataValidation>
    <x:dataValidation type="list" sqref="F10:F99">
      <x:formula1>"Standard,Assisted,Other"</x:formula1>
    </x:dataValidation>
  </x:dataValidations>
  <x:pageMargins left="0.7" right="0.7" top="0.75" bottom="0.75" header="0.3" footer="0.3"/>
</x:worksheet>
</file>

<file path=xl/worksheets/sheet25.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D05  Deviation, issue and safety log</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Preserve what did not go to plan and make the response visible.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D05</x:v>
      </x:c>
      <x:c r="B9" s="34"/>
      <x:c r="C9" s="34"/>
      <x:c r="D9" s="34"/>
      <x:c r="E9" s="34"/>
      <x:c r="F9" s="34"/>
      <x:c r="G9" s="34"/>
      <x:c r="H9" s="34"/>
      <x:c r="I9" s="34"/>
      <x:c r="J9" s="34"/>
      <x:c r="K9" s="34"/>
      <x:c r="L9" s="34"/>
      <x:c r="M9" s="3"/>
      <x:c r="N9" s="3"/>
      <x:c r="O9" s="3"/>
      <x:c r="P9" s="3"/>
      <x:c r="Q9" s="3"/>
      <x:c r="R9" s="3"/>
    </x:row>
    <x:row r="10" ht="20" customHeight="1">
      <x:c r="A10" s="40" t="str">
        <x:v>01  Event and expectation</x:v>
      </x:c>
      <x:c r="B10" s="40"/>
      <x:c r="C10" s="40"/>
      <x:c r="D10" s="17" t="str">
        <x:v>Record the planned and actual situation.</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Consequence and scope</x:v>
      </x:c>
      <x:c r="B16" s="40"/>
      <x:c r="C16" s="40"/>
      <x:c r="D16" s="17" t="str">
        <x:v>Describe effect on the case and the test.</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Immediate response</x:v>
      </x:c>
      <x:c r="B22" s="40"/>
      <x:c r="C22" s="40"/>
      <x:c r="D22" s="17" t="str">
        <x:v>Record containment, support or stop action.</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Owner and due date</x:v>
      </x:c>
      <x:c r="B28" s="40"/>
      <x:c r="C28" s="40"/>
      <x:c r="D28" s="17" t="str">
        <x:v>Assign the response and escalation.</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Effect on interpretation</x:v>
      </x:c>
      <x:c r="B34" s="40"/>
      <x:c r="C34" s="40"/>
      <x:c r="D34" s="17" t="str">
        <x:v>Explain whether the test remains interpretable.</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Closure and learning</x:v>
      </x:c>
      <x:c r="B40" s="40"/>
      <x:c r="C40" s="40"/>
      <x:c r="D40" s="17" t="str">
        <x:v>Record evidence and link the next action.</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Do not reproduce confidential incident narratives in a general improvement log. Reference the formal record. Closing an action does not erase the event from the cycle history, and absence of reported events does not demonstrate safety.</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D08, S01, A01  |  METHOD SOURCES: U01, R02</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4" t="str">
        <x:v>LIVE WORKING REGISTER | Add evidence, ownership and a review date.</x:v>
      </x:c>
      <x:c r="B53" s="34"/>
      <x:c r="C53" s="34"/>
      <x:c r="D53" s="34"/>
      <x:c r="E53" s="34"/>
      <x:c r="F53" s="34"/>
      <x:c r="G53" s="34"/>
      <x:c r="H53" s="34"/>
      <x:c r="I53" s="34"/>
      <x:c r="J53" s="34"/>
      <x:c r="K53" s="34"/>
      <x:c r="L53" s="34"/>
      <x:c r="M53" s="3"/>
      <x:c r="N53" s="3"/>
      <x:c r="O53" s="3"/>
      <x:c r="P53" s="3"/>
      <x:c r="Q53" s="3"/>
      <x:c r="R53" s="3"/>
    </x:row>
    <x:row r="54" ht="20" customHeight="1">
      <x:c r="A54" s="34"/>
      <x:c r="B54" s="34"/>
      <x:c r="C54" s="34"/>
      <x:c r="D54" s="34"/>
      <x:c r="E54" s="34"/>
      <x:c r="F54" s="34"/>
      <x:c r="G54" s="34"/>
      <x:c r="H54" s="34"/>
      <x:c r="I54" s="34"/>
      <x:c r="J54" s="34"/>
      <x:c r="K54" s="34"/>
      <x:c r="L54" s="34"/>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38" customHeight="1">
      <x:c r="A56" s="77" t="str">
        <x:v>Deviation ID</x:v>
      </x:c>
      <x:c r="B56" s="77" t="str">
        <x:v>Cycle</x:v>
      </x:c>
      <x:c r="C56" s="77" t="str">
        <x:v>Planned method</x:v>
      </x:c>
      <x:c r="D56" s="77" t="str">
        <x:v>Actual deviation</x:v>
      </x:c>
      <x:c r="E56" s="77" t="str">
        <x:v>Date/condition</x:v>
      </x:c>
      <x:c r="F56" s="77" t="str">
        <x:v>Effect on interpretation</x:v>
      </x:c>
      <x:c r="G56" s="77" t="str">
        <x:v>Containment</x:v>
      </x:c>
      <x:c r="H56" s="77" t="str">
        <x:v>Next decision</x:v>
      </x:c>
      <x:c r="I56" s="3"/>
      <x:c r="J56" s="3"/>
      <x:c r="K56" s="3"/>
      <x:c r="L56" s="3"/>
      <x:c r="M56" s="3"/>
      <x:c r="N56" s="3"/>
      <x:c r="O56" s="3"/>
      <x:c r="P56" s="3"/>
      <x:c r="Q56" s="3"/>
      <x:c r="R56" s="3"/>
    </x:row>
    <x:row r="57" ht="34" customHeight="1">
      <x:c r="A57" s="46"/>
      <x:c r="B57" s="46"/>
      <x:c r="C57" s="46"/>
      <x:c r="D57" s="46"/>
      <x:c r="E57" s="46"/>
      <x:c r="F57" s="46"/>
      <x:c r="G57" s="46"/>
      <x:c r="H57" s="46"/>
      <x:c r="I57" s="3"/>
      <x:c r="J57" s="3"/>
      <x:c r="K57" s="3"/>
      <x:c r="L57" s="3"/>
      <x:c r="M57" s="3"/>
      <x:c r="N57" s="3"/>
      <x:c r="O57" s="3"/>
      <x:c r="P57" s="3"/>
      <x:c r="Q57" s="3"/>
      <x:c r="R57" s="3"/>
    </x:row>
    <x:row r="58" ht="34" customHeight="1">
      <x:c r="A58" s="46"/>
      <x:c r="B58" s="46"/>
      <x:c r="C58" s="46"/>
      <x:c r="D58" s="46"/>
      <x:c r="E58" s="46"/>
      <x:c r="F58" s="46"/>
      <x:c r="G58" s="46"/>
      <x:c r="H58" s="46"/>
      <x:c r="I58" s="3"/>
      <x:c r="J58" s="3"/>
      <x:c r="K58" s="3"/>
      <x:c r="L58" s="3"/>
      <x:c r="M58" s="3"/>
      <x:c r="N58" s="3"/>
      <x:c r="O58" s="3"/>
      <x:c r="P58" s="3"/>
      <x:c r="Q58" s="3"/>
      <x:c r="R58" s="3"/>
    </x:row>
    <x:row r="59" ht="34" customHeight="1">
      <x:c r="A59" s="46"/>
      <x:c r="B59" s="46"/>
      <x:c r="C59" s="46"/>
      <x:c r="D59" s="46"/>
      <x:c r="E59" s="46"/>
      <x:c r="F59" s="46"/>
      <x:c r="G59" s="46"/>
      <x:c r="H59" s="46"/>
      <x:c r="I59" s="3"/>
      <x:c r="J59" s="3"/>
      <x:c r="K59" s="3"/>
      <x:c r="L59" s="3"/>
      <x:c r="M59" s="3"/>
      <x:c r="N59" s="3"/>
      <x:c r="O59" s="3"/>
      <x:c r="P59" s="3"/>
      <x:c r="Q59" s="3"/>
      <x:c r="R59" s="3"/>
    </x:row>
    <x:row r="60" ht="34" customHeight="1">
      <x:c r="A60" s="46"/>
      <x:c r="B60" s="46"/>
      <x:c r="C60" s="46"/>
      <x:c r="D60" s="46"/>
      <x:c r="E60" s="46"/>
      <x:c r="F60" s="46"/>
      <x:c r="G60" s="46"/>
      <x:c r="H60" s="46"/>
      <x:c r="I60" s="3"/>
      <x:c r="J60" s="3"/>
      <x:c r="K60" s="3"/>
      <x:c r="L60" s="3"/>
      <x:c r="M60" s="3"/>
      <x:c r="N60" s="3"/>
      <x:c r="O60" s="3"/>
      <x:c r="P60" s="3"/>
      <x:c r="Q60" s="3"/>
      <x:c r="R60" s="3"/>
    </x:row>
    <x:row r="61" ht="34" customHeight="1">
      <x:c r="A61" s="46"/>
      <x:c r="B61" s="46"/>
      <x:c r="C61" s="46"/>
      <x:c r="D61" s="46"/>
      <x:c r="E61" s="46"/>
      <x:c r="F61" s="46"/>
      <x:c r="G61" s="46"/>
      <x:c r="H61" s="46"/>
      <x:c r="I61" s="3"/>
      <x:c r="J61" s="3"/>
      <x:c r="K61" s="3"/>
      <x:c r="L61" s="3"/>
      <x:c r="M61" s="3"/>
      <x:c r="N61" s="3"/>
      <x:c r="O61" s="3"/>
      <x:c r="P61" s="3"/>
      <x:c r="Q61" s="3"/>
      <x:c r="R61" s="3"/>
    </x:row>
    <x:row r="62" ht="34" customHeight="1">
      <x:c r="A62" s="46"/>
      <x:c r="B62" s="46"/>
      <x:c r="C62" s="46"/>
      <x:c r="D62" s="46"/>
      <x:c r="E62" s="46"/>
      <x:c r="F62" s="46"/>
      <x:c r="G62" s="46"/>
      <x:c r="H62" s="46"/>
      <x:c r="I62" s="3"/>
      <x:c r="J62" s="3"/>
      <x:c r="K62" s="3"/>
      <x:c r="L62" s="3"/>
      <x:c r="M62" s="3"/>
      <x:c r="N62" s="3"/>
      <x:c r="O62" s="3"/>
      <x:c r="P62" s="3"/>
      <x:c r="Q62" s="3"/>
      <x:c r="R62" s="3"/>
    </x:row>
    <x:row r="63" ht="34" customHeight="1">
      <x:c r="A63" s="46"/>
      <x:c r="B63" s="46"/>
      <x:c r="C63" s="46"/>
      <x:c r="D63" s="46"/>
      <x:c r="E63" s="46"/>
      <x:c r="F63" s="46"/>
      <x:c r="G63" s="46"/>
      <x:c r="H63" s="46"/>
      <x:c r="I63" s="3"/>
      <x:c r="J63" s="3"/>
      <x:c r="K63" s="3"/>
      <x:c r="L63" s="3"/>
      <x:c r="M63" s="3"/>
      <x:c r="N63" s="3"/>
      <x:c r="O63" s="3"/>
      <x:c r="P63" s="3"/>
      <x:c r="Q63" s="3"/>
      <x:c r="R63" s="3"/>
    </x:row>
    <x:row r="64" ht="34" customHeight="1">
      <x:c r="A64" s="46"/>
      <x:c r="B64" s="46"/>
      <x:c r="C64" s="46"/>
      <x:c r="D64" s="46"/>
      <x:c r="E64" s="46"/>
      <x:c r="F64" s="46"/>
      <x:c r="G64" s="46"/>
      <x:c r="H64" s="46"/>
      <x:c r="I64" s="3"/>
      <x:c r="J64" s="3"/>
      <x:c r="K64" s="3"/>
      <x:c r="L64" s="3"/>
      <x:c r="M64" s="3"/>
      <x:c r="N64" s="3"/>
      <x:c r="O64" s="3"/>
      <x:c r="P64" s="3"/>
      <x:c r="Q64" s="3"/>
      <x:c r="R64" s="3"/>
    </x:row>
    <x:row r="65" ht="34" customHeight="1">
      <x:c r="A65" s="46"/>
      <x:c r="B65" s="46"/>
      <x:c r="C65" s="46"/>
      <x:c r="D65" s="46"/>
      <x:c r="E65" s="46"/>
      <x:c r="F65" s="46"/>
      <x:c r="G65" s="46"/>
      <x:c r="H65" s="46"/>
      <x:c r="I65" s="3"/>
      <x:c r="J65" s="3"/>
      <x:c r="K65" s="3"/>
      <x:c r="L65" s="3"/>
      <x:c r="M65" s="3"/>
      <x:c r="N65" s="3"/>
      <x:c r="O65" s="3"/>
      <x:c r="P65" s="3"/>
      <x:c r="Q65" s="3"/>
      <x:c r="R65" s="3"/>
    </x:row>
    <x:row r="66" ht="34" customHeight="1">
      <x:c r="A66" s="46"/>
      <x:c r="B66" s="46"/>
      <x:c r="C66" s="46"/>
      <x:c r="D66" s="46"/>
      <x:c r="E66" s="46"/>
      <x:c r="F66" s="46"/>
      <x:c r="G66" s="46"/>
      <x:c r="H66" s="46"/>
      <x:c r="I66" s="3"/>
      <x:c r="J66" s="3"/>
      <x:c r="K66" s="3"/>
      <x:c r="L66" s="3"/>
      <x:c r="M66" s="3"/>
      <x:c r="N66" s="3"/>
      <x:c r="O66" s="3"/>
      <x:c r="P66" s="3"/>
      <x:c r="Q66" s="3"/>
      <x:c r="R66" s="3"/>
    </x:row>
    <x:row r="67" ht="34" customHeight="1">
      <x:c r="A67" s="46"/>
      <x:c r="B67" s="46"/>
      <x:c r="C67" s="46"/>
      <x:c r="D67" s="46"/>
      <x:c r="E67" s="46"/>
      <x:c r="F67" s="46"/>
      <x:c r="G67" s="46"/>
      <x:c r="H67" s="46"/>
      <x:c r="I67" s="3"/>
      <x:c r="J67" s="3"/>
      <x:c r="K67" s="3"/>
      <x:c r="L67" s="3"/>
      <x:c r="M67" s="3"/>
      <x:c r="N67" s="3"/>
      <x:c r="O67" s="3"/>
      <x:c r="P67" s="3"/>
      <x:c r="Q67" s="3"/>
      <x:c r="R67" s="3"/>
    </x:row>
    <x:row r="68" ht="34" customHeight="1">
      <x:c r="A68" s="46"/>
      <x:c r="B68" s="46"/>
      <x:c r="C68" s="46"/>
      <x:c r="D68" s="46"/>
      <x:c r="E68" s="46"/>
      <x:c r="F68" s="46"/>
      <x:c r="G68" s="46"/>
      <x:c r="H68" s="46"/>
      <x:c r="I68" s="3"/>
      <x:c r="J68" s="3"/>
      <x:c r="K68" s="3"/>
      <x:c r="L68" s="3"/>
      <x:c r="M68" s="3"/>
      <x:c r="N68" s="3"/>
      <x:c r="O68" s="3"/>
      <x:c r="P68" s="3"/>
      <x:c r="Q68" s="3"/>
      <x:c r="R68" s="3"/>
    </x:row>
    <x:row r="69" ht="34" customHeight="1">
      <x:c r="A69" s="46"/>
      <x:c r="B69" s="46"/>
      <x:c r="C69" s="46"/>
      <x:c r="D69" s="46"/>
      <x:c r="E69" s="46"/>
      <x:c r="F69" s="46"/>
      <x:c r="G69" s="46"/>
      <x:c r="H69" s="46"/>
      <x:c r="I69" s="3"/>
      <x:c r="J69" s="3"/>
      <x:c r="K69" s="3"/>
      <x:c r="L69" s="3"/>
      <x:c r="M69" s="3"/>
      <x:c r="N69" s="3"/>
      <x:c r="O69" s="3"/>
      <x:c r="P69" s="3"/>
      <x:c r="Q69" s="3"/>
      <x:c r="R69" s="3"/>
    </x:row>
    <x:row r="70" ht="34" customHeight="1">
      <x:c r="A70" s="46"/>
      <x:c r="B70" s="46"/>
      <x:c r="C70" s="46"/>
      <x:c r="D70" s="46"/>
      <x:c r="E70" s="46"/>
      <x:c r="F70" s="46"/>
      <x:c r="G70" s="46"/>
      <x:c r="H70" s="46"/>
      <x:c r="I70" s="3"/>
      <x:c r="J70" s="3"/>
      <x:c r="K70" s="3"/>
      <x:c r="L70" s="3"/>
      <x:c r="M70" s="3"/>
      <x:c r="N70" s="3"/>
      <x:c r="O70" s="3"/>
      <x:c r="P70" s="3"/>
      <x:c r="Q70" s="3"/>
      <x:c r="R70" s="3"/>
    </x:row>
    <x:row r="71" ht="34" customHeight="1">
      <x:c r="A71" s="46"/>
      <x:c r="B71" s="46"/>
      <x:c r="C71" s="46"/>
      <x:c r="D71" s="46"/>
      <x:c r="E71" s="46"/>
      <x:c r="F71" s="46"/>
      <x:c r="G71" s="46"/>
      <x:c r="H71" s="46"/>
      <x:c r="I71" s="3"/>
      <x:c r="J71" s="3"/>
      <x:c r="K71" s="3"/>
      <x:c r="L71" s="3"/>
      <x:c r="M71" s="3"/>
      <x:c r="N71" s="3"/>
      <x:c r="O71" s="3"/>
      <x:c r="P71" s="3"/>
      <x:c r="Q71" s="3"/>
      <x:c r="R71" s="3"/>
    </x:row>
    <x:row r="72" ht="34" customHeight="1">
      <x:c r="A72" s="46"/>
      <x:c r="B72" s="46"/>
      <x:c r="C72" s="46"/>
      <x:c r="D72" s="46"/>
      <x:c r="E72" s="46"/>
      <x:c r="F72" s="46"/>
      <x:c r="G72" s="46"/>
      <x:c r="H72" s="46"/>
      <x:c r="I72" s="3"/>
      <x:c r="J72" s="3"/>
      <x:c r="K72" s="3"/>
      <x:c r="L72" s="3"/>
      <x:c r="M72" s="3"/>
      <x:c r="N72" s="3"/>
      <x:c r="O72" s="3"/>
      <x:c r="P72" s="3"/>
      <x:c r="Q72" s="3"/>
      <x:c r="R72" s="3"/>
    </x:row>
    <x:row r="73" ht="34" customHeight="1">
      <x:c r="A73" s="46"/>
      <x:c r="B73" s="46"/>
      <x:c r="C73" s="46"/>
      <x:c r="D73" s="46"/>
      <x:c r="E73" s="46"/>
      <x:c r="F73" s="46"/>
      <x:c r="G73" s="46"/>
      <x:c r="H73" s="46"/>
      <x:c r="I73" s="3"/>
      <x:c r="J73" s="3"/>
      <x:c r="K73" s="3"/>
      <x:c r="L73" s="3"/>
      <x:c r="M73" s="3"/>
      <x:c r="N73" s="3"/>
      <x:c r="O73" s="3"/>
      <x:c r="P73" s="3"/>
      <x:c r="Q73" s="3"/>
      <x:c r="R73" s="3"/>
    </x:row>
    <x:row r="74" ht="34" customHeight="1">
      <x:c r="A74" s="46"/>
      <x:c r="B74" s="46"/>
      <x:c r="C74" s="46"/>
      <x:c r="D74" s="46"/>
      <x:c r="E74" s="46"/>
      <x:c r="F74" s="46"/>
      <x:c r="G74" s="46"/>
      <x:c r="H74" s="46"/>
      <x:c r="I74" s="3"/>
      <x:c r="J74" s="3"/>
      <x:c r="K74" s="3"/>
      <x:c r="L74" s="3"/>
      <x:c r="M74" s="3"/>
      <x:c r="N74" s="3"/>
      <x:c r="O74" s="3"/>
      <x:c r="P74" s="3"/>
      <x:c r="Q74" s="3"/>
      <x:c r="R74" s="3"/>
    </x:row>
    <x:row r="75" ht="34" customHeight="1">
      <x:c r="A75" s="46"/>
      <x:c r="B75" s="46"/>
      <x:c r="C75" s="46"/>
      <x:c r="D75" s="46"/>
      <x:c r="E75" s="46"/>
      <x:c r="F75" s="46"/>
      <x:c r="G75" s="46"/>
      <x:c r="H75" s="46"/>
      <x:c r="I75" s="3"/>
      <x:c r="J75" s="3"/>
      <x:c r="K75" s="3"/>
      <x:c r="L75" s="3"/>
      <x:c r="M75" s="3"/>
      <x:c r="N75" s="3"/>
      <x:c r="O75" s="3"/>
      <x:c r="P75" s="3"/>
      <x:c r="Q75" s="3"/>
      <x:c r="R75" s="3"/>
    </x:row>
    <x:row r="76" ht="34" customHeight="1">
      <x:c r="A76" s="46"/>
      <x:c r="B76" s="46"/>
      <x:c r="C76" s="46"/>
      <x:c r="D76" s="46"/>
      <x:c r="E76" s="46"/>
      <x:c r="F76" s="46"/>
      <x:c r="G76" s="46"/>
      <x:c r="H76" s="46"/>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136" t="str">
        <x:v>Record facts separately from hypotheses. A populated row is not approval: keep the decision authority and supporting evidence explicit. Review access controls before entering identifiable or sensitive information.</x:v>
      </x:c>
      <x:c r="B79" s="136"/>
      <x:c r="C79" s="136"/>
      <x:c r="D79" s="136"/>
      <x:c r="E79" s="136"/>
      <x:c r="F79" s="136"/>
      <x:c r="G79" s="136"/>
      <x:c r="H79" s="136"/>
      <x:c r="I79" s="136"/>
      <x:c r="J79" s="136"/>
      <x:c r="K79" s="136"/>
      <x:c r="L79" s="136"/>
      <x:c r="M79" s="3"/>
      <x:c r="N79" s="3"/>
      <x:c r="O79" s="3"/>
      <x:c r="P79" s="3"/>
      <x:c r="Q79" s="3"/>
      <x:c r="R79" s="3"/>
    </x:row>
    <x:row r="80" ht="20" customHeight="1">
      <x:c r="A80" s="136"/>
      <x:c r="B80" s="136"/>
      <x:c r="C80" s="136"/>
      <x:c r="D80" s="136"/>
      <x:c r="E80" s="136"/>
      <x:c r="F80" s="136"/>
      <x:c r="G80" s="136"/>
      <x:c r="H80" s="136"/>
      <x:c r="I80" s="136"/>
      <x:c r="J80" s="136"/>
      <x:c r="K80" s="136"/>
      <x:c r="L80" s="136"/>
      <x:c r="M80" s="3"/>
      <x:c r="N80" s="3"/>
      <x:c r="O80" s="3"/>
      <x:c r="P80" s="3"/>
      <x:c r="Q80" s="3"/>
      <x:c r="R80" s="3"/>
    </x:row>
    <x:row r="81" ht="20" customHeight="1">
      <x:c r="A81" s="136"/>
      <x:c r="B81" s="136"/>
      <x:c r="C81" s="136"/>
      <x:c r="D81" s="136"/>
      <x:c r="E81" s="136"/>
      <x:c r="F81" s="136"/>
      <x:c r="G81" s="136"/>
      <x:c r="H81" s="136"/>
      <x:c r="I81" s="136"/>
      <x:c r="J81" s="136"/>
      <x:c r="K81" s="136"/>
      <x:c r="L81" s="136"/>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 ref="A53:L54"/>
    <x:mergeCell ref="A79:L81"/>
  </x:mergeCells>
  <x:pageMargins left="0.7" right="0.7" top="0.75" bottom="0.75" header="0.3" footer="0.3"/>
</x:worksheet>
</file>

<file path=xl/worksheets/sheet26.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5" hidden="0" customWidth="1"/>
    <x:col min="2" max="2" width="16" hidden="0" customWidth="1"/>
    <x:col min="3" max="3" width="48" hidden="0" customWidth="1"/>
    <x:col min="4" max="4" width="24" hidden="0" customWidth="1"/>
    <x:col min="5" max="5" width="17" hidden="0" customWidth="1"/>
    <x:col min="6" max="6" width="18" hidden="0" customWidth="1"/>
    <x:col min="7" max="7" width="48" hidden="0" customWidth="1"/>
    <x:col min="8" max="8" width="18"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D06  Learning huddle and action log</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Use a short daily conversation to remove obstacles and protect the test.</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Action ID</x:v>
      </x:c>
      <x:c r="B9" s="77" t="str">
        <x:v>Cycle</x:v>
      </x:c>
      <x:c r="C9" s="77" t="str">
        <x:v>Action / intended result</x:v>
      </x:c>
      <x:c r="D9" s="77" t="str">
        <x:v>Owner</x:v>
      </x:c>
      <x:c r="E9" s="77" t="str">
        <x:v>Due date</x:v>
      </x:c>
      <x:c r="F9" s="77" t="str">
        <x:v>Status</x:v>
      </x:c>
      <x:c r="G9" s="77" t="str">
        <x:v>Evidence / closure</x:v>
      </x:c>
      <x:c r="H9" s="77" t="str">
        <x:v>Overdue</x:v>
      </x:c>
      <x:c r="I9" s="3"/>
      <x:c r="J9" s="3"/>
      <x:c r="K9" s="3"/>
      <x:c r="L9" s="3"/>
      <x:c r="M9" s="3"/>
      <x:c r="N9" s="3"/>
      <x:c r="O9" s="3"/>
      <x:c r="P9" s="3"/>
      <x:c r="Q9" s="3"/>
      <x:c r="R9" s="3"/>
    </x:row>
    <x:row r="10" ht="34" customHeight="1">
      <x:c r="A10" s="46"/>
      <x:c r="B10" s="46"/>
      <x:c r="C10" s="46"/>
      <x:c r="D10" s="46"/>
      <x:c r="E10" s="88"/>
      <x:c r="F10" s="46"/>
      <x:c r="G10" s="46"/>
      <x:c r="H10" s="83" t="str">
        <x:f>IF(A10="","",IF(OR(F10="Complete",F10="Cancelled"),"",IF(AND(ISNUMBER(E10),ISNUMBER('01 Setup'!$B$31)),IF(E10&lt;'01 Setup'!$B$31,"Overdue","Not overdue"),"Set due/as-of date")))</x:f>
      </x:c>
      <x:c r="I10" s="3"/>
      <x:c r="J10" s="3"/>
      <x:c r="K10" s="3"/>
      <x:c r="L10" s="3"/>
      <x:c r="M10" s="3"/>
      <x:c r="N10" s="3"/>
      <x:c r="O10" s="3"/>
      <x:c r="P10" s="3"/>
      <x:c r="Q10" s="3"/>
      <x:c r="R10" s="3"/>
    </x:row>
    <x:row r="11" ht="34" customHeight="1">
      <x:c r="A11" s="46"/>
      <x:c r="B11" s="46"/>
      <x:c r="C11" s="46"/>
      <x:c r="D11" s="46"/>
      <x:c r="E11" s="88"/>
      <x:c r="F11" s="46"/>
      <x:c r="G11" s="46"/>
      <x:c r="H11" s="83" t="str">
        <x:f>IF(A11="","",IF(OR(F11="Complete",F11="Cancelled"),"",IF(AND(ISNUMBER(E11),ISNUMBER('01 Setup'!$B$31)),IF(E11&lt;'01 Setup'!$B$31,"Overdue","Not overdue"),"Set due/as-of date")))</x:f>
      </x:c>
      <x:c r="I11" s="3"/>
      <x:c r="J11" s="3"/>
      <x:c r="K11" s="3"/>
      <x:c r="L11" s="3"/>
      <x:c r="M11" s="3"/>
      <x:c r="N11" s="3"/>
      <x:c r="O11" s="3"/>
      <x:c r="P11" s="3"/>
      <x:c r="Q11" s="3"/>
      <x:c r="R11" s="3"/>
    </x:row>
    <x:row r="12" ht="34" customHeight="1">
      <x:c r="A12" s="46"/>
      <x:c r="B12" s="46"/>
      <x:c r="C12" s="46"/>
      <x:c r="D12" s="46"/>
      <x:c r="E12" s="88"/>
      <x:c r="F12" s="46"/>
      <x:c r="G12" s="46"/>
      <x:c r="H12" s="83" t="str">
        <x:f>IF(A12="","",IF(OR(F12="Complete",F12="Cancelled"),"",IF(AND(ISNUMBER(E12),ISNUMBER('01 Setup'!$B$31)),IF(E12&lt;'01 Setup'!$B$31,"Overdue","Not overdue"),"Set due/as-of date")))</x:f>
      </x:c>
      <x:c r="I12" s="3"/>
      <x:c r="J12" s="3"/>
      <x:c r="K12" s="3"/>
      <x:c r="L12" s="3"/>
      <x:c r="M12" s="3"/>
      <x:c r="N12" s="3"/>
      <x:c r="O12" s="3"/>
      <x:c r="P12" s="3"/>
      <x:c r="Q12" s="3"/>
      <x:c r="R12" s="3"/>
    </x:row>
    <x:row r="13" ht="34" customHeight="1">
      <x:c r="A13" s="46"/>
      <x:c r="B13" s="46"/>
      <x:c r="C13" s="46"/>
      <x:c r="D13" s="46"/>
      <x:c r="E13" s="88"/>
      <x:c r="F13" s="46"/>
      <x:c r="G13" s="46"/>
      <x:c r="H13" s="83" t="str">
        <x:f>IF(A13="","",IF(OR(F13="Complete",F13="Cancelled"),"",IF(AND(ISNUMBER(E13),ISNUMBER('01 Setup'!$B$31)),IF(E13&lt;'01 Setup'!$B$31,"Overdue","Not overdue"),"Set due/as-of date")))</x:f>
      </x:c>
      <x:c r="I13" s="3"/>
      <x:c r="J13" s="3"/>
      <x:c r="K13" s="3"/>
      <x:c r="L13" s="3"/>
      <x:c r="M13" s="3"/>
      <x:c r="N13" s="3"/>
      <x:c r="O13" s="3"/>
      <x:c r="P13" s="3"/>
      <x:c r="Q13" s="3"/>
      <x:c r="R13" s="3"/>
    </x:row>
    <x:row r="14" ht="34" customHeight="1">
      <x:c r="A14" s="46"/>
      <x:c r="B14" s="46"/>
      <x:c r="C14" s="46"/>
      <x:c r="D14" s="46"/>
      <x:c r="E14" s="88"/>
      <x:c r="F14" s="46"/>
      <x:c r="G14" s="46"/>
      <x:c r="H14" s="83" t="str">
        <x:f>IF(A14="","",IF(OR(F14="Complete",F14="Cancelled"),"",IF(AND(ISNUMBER(E14),ISNUMBER('01 Setup'!$B$31)),IF(E14&lt;'01 Setup'!$B$31,"Overdue","Not overdue"),"Set due/as-of date")))</x:f>
      </x:c>
      <x:c r="I14" s="3"/>
      <x:c r="J14" s="3"/>
      <x:c r="K14" s="3"/>
      <x:c r="L14" s="3"/>
      <x:c r="M14" s="3"/>
      <x:c r="N14" s="3"/>
      <x:c r="O14" s="3"/>
      <x:c r="P14" s="3"/>
      <x:c r="Q14" s="3"/>
      <x:c r="R14" s="3"/>
    </x:row>
    <x:row r="15" ht="34" customHeight="1">
      <x:c r="A15" s="46"/>
      <x:c r="B15" s="46"/>
      <x:c r="C15" s="46"/>
      <x:c r="D15" s="46"/>
      <x:c r="E15" s="88"/>
      <x:c r="F15" s="46"/>
      <x:c r="G15" s="46"/>
      <x:c r="H15" s="83" t="str">
        <x:f>IF(A15="","",IF(OR(F15="Complete",F15="Cancelled"),"",IF(AND(ISNUMBER(E15),ISNUMBER('01 Setup'!$B$31)),IF(E15&lt;'01 Setup'!$B$31,"Overdue","Not overdue"),"Set due/as-of date")))</x:f>
      </x:c>
      <x:c r="I15" s="3"/>
      <x:c r="J15" s="3"/>
      <x:c r="K15" s="3"/>
      <x:c r="L15" s="3"/>
      <x:c r="M15" s="3"/>
      <x:c r="N15" s="3"/>
      <x:c r="O15" s="3"/>
      <x:c r="P15" s="3"/>
      <x:c r="Q15" s="3"/>
      <x:c r="R15" s="3"/>
    </x:row>
    <x:row r="16" ht="34" customHeight="1">
      <x:c r="A16" s="46"/>
      <x:c r="B16" s="46"/>
      <x:c r="C16" s="46"/>
      <x:c r="D16" s="46"/>
      <x:c r="E16" s="88"/>
      <x:c r="F16" s="46"/>
      <x:c r="G16" s="46"/>
      <x:c r="H16" s="83" t="str">
        <x:f>IF(A16="","",IF(OR(F16="Complete",F16="Cancelled"),"",IF(AND(ISNUMBER(E16),ISNUMBER('01 Setup'!$B$31)),IF(E16&lt;'01 Setup'!$B$31,"Overdue","Not overdue"),"Set due/as-of date")))</x:f>
      </x:c>
      <x:c r="I16" s="3"/>
      <x:c r="J16" s="3"/>
      <x:c r="K16" s="3"/>
      <x:c r="L16" s="3"/>
      <x:c r="M16" s="3"/>
      <x:c r="N16" s="3"/>
      <x:c r="O16" s="3"/>
      <x:c r="P16" s="3"/>
      <x:c r="Q16" s="3"/>
      <x:c r="R16" s="3"/>
    </x:row>
    <x:row r="17" ht="34" customHeight="1">
      <x:c r="A17" s="46"/>
      <x:c r="B17" s="46"/>
      <x:c r="C17" s="46"/>
      <x:c r="D17" s="46"/>
      <x:c r="E17" s="88"/>
      <x:c r="F17" s="46"/>
      <x:c r="G17" s="46"/>
      <x:c r="H17" s="83" t="str">
        <x:f>IF(A17="","",IF(OR(F17="Complete",F17="Cancelled"),"",IF(AND(ISNUMBER(E17),ISNUMBER('01 Setup'!$B$31)),IF(E17&lt;'01 Setup'!$B$31,"Overdue","Not overdue"),"Set due/as-of date")))</x:f>
      </x:c>
      <x:c r="I17" s="3"/>
      <x:c r="J17" s="3"/>
      <x:c r="K17" s="3"/>
      <x:c r="L17" s="3"/>
      <x:c r="M17" s="3"/>
      <x:c r="N17" s="3"/>
      <x:c r="O17" s="3"/>
      <x:c r="P17" s="3"/>
      <x:c r="Q17" s="3"/>
      <x:c r="R17" s="3"/>
    </x:row>
    <x:row r="18" ht="34" customHeight="1">
      <x:c r="A18" s="46"/>
      <x:c r="B18" s="46"/>
      <x:c r="C18" s="46"/>
      <x:c r="D18" s="46"/>
      <x:c r="E18" s="88"/>
      <x:c r="F18" s="46"/>
      <x:c r="G18" s="46"/>
      <x:c r="H18" s="83" t="str">
        <x:f>IF(A18="","",IF(OR(F18="Complete",F18="Cancelled"),"",IF(AND(ISNUMBER(E18),ISNUMBER('01 Setup'!$B$31)),IF(E18&lt;'01 Setup'!$B$31,"Overdue","Not overdue"),"Set due/as-of date")))</x:f>
      </x:c>
      <x:c r="I18" s="3"/>
      <x:c r="J18" s="3"/>
      <x:c r="K18" s="3"/>
      <x:c r="L18" s="3"/>
      <x:c r="M18" s="3"/>
      <x:c r="N18" s="3"/>
      <x:c r="O18" s="3"/>
      <x:c r="P18" s="3"/>
      <x:c r="Q18" s="3"/>
      <x:c r="R18" s="3"/>
    </x:row>
    <x:row r="19" ht="34" customHeight="1">
      <x:c r="A19" s="46"/>
      <x:c r="B19" s="46"/>
      <x:c r="C19" s="46"/>
      <x:c r="D19" s="46"/>
      <x:c r="E19" s="88"/>
      <x:c r="F19" s="46"/>
      <x:c r="G19" s="46"/>
      <x:c r="H19" s="83" t="str">
        <x:f>IF(A19="","",IF(OR(F19="Complete",F19="Cancelled"),"",IF(AND(ISNUMBER(E19),ISNUMBER('01 Setup'!$B$31)),IF(E19&lt;'01 Setup'!$B$31,"Overdue","Not overdue"),"Set due/as-of date")))</x:f>
      </x:c>
      <x:c r="I19" s="3"/>
      <x:c r="J19" s="3"/>
      <x:c r="K19" s="3"/>
      <x:c r="L19" s="3"/>
      <x:c r="M19" s="3"/>
      <x:c r="N19" s="3"/>
      <x:c r="O19" s="3"/>
      <x:c r="P19" s="3"/>
      <x:c r="Q19" s="3"/>
      <x:c r="R19" s="3"/>
    </x:row>
    <x:row r="20" ht="34" customHeight="1">
      <x:c r="A20" s="46"/>
      <x:c r="B20" s="46"/>
      <x:c r="C20" s="46"/>
      <x:c r="D20" s="46"/>
      <x:c r="E20" s="88"/>
      <x:c r="F20" s="46"/>
      <x:c r="G20" s="46"/>
      <x:c r="H20" s="83" t="str">
        <x:f>IF(A20="","",IF(OR(F20="Complete",F20="Cancelled"),"",IF(AND(ISNUMBER(E20),ISNUMBER('01 Setup'!$B$31)),IF(E20&lt;'01 Setup'!$B$31,"Overdue","Not overdue"),"Set due/as-of date")))</x:f>
      </x:c>
      <x:c r="I20" s="3"/>
      <x:c r="J20" s="3"/>
      <x:c r="K20" s="3"/>
      <x:c r="L20" s="3"/>
      <x:c r="M20" s="3"/>
      <x:c r="N20" s="3"/>
      <x:c r="O20" s="3"/>
      <x:c r="P20" s="3"/>
      <x:c r="Q20" s="3"/>
      <x:c r="R20" s="3"/>
    </x:row>
    <x:row r="21" ht="34" customHeight="1">
      <x:c r="A21" s="46"/>
      <x:c r="B21" s="46"/>
      <x:c r="C21" s="46"/>
      <x:c r="D21" s="46"/>
      <x:c r="E21" s="88"/>
      <x:c r="F21" s="46"/>
      <x:c r="G21" s="46"/>
      <x:c r="H21" s="83" t="str">
        <x:f>IF(A21="","",IF(OR(F21="Complete",F21="Cancelled"),"",IF(AND(ISNUMBER(E21),ISNUMBER('01 Setup'!$B$31)),IF(E21&lt;'01 Setup'!$B$31,"Overdue","Not overdue"),"Set due/as-of date")))</x:f>
      </x:c>
      <x:c r="I21" s="3"/>
      <x:c r="J21" s="3"/>
      <x:c r="K21" s="3"/>
      <x:c r="L21" s="3"/>
      <x:c r="M21" s="3"/>
      <x:c r="N21" s="3"/>
      <x:c r="O21" s="3"/>
      <x:c r="P21" s="3"/>
      <x:c r="Q21" s="3"/>
      <x:c r="R21" s="3"/>
    </x:row>
    <x:row r="22" ht="34" customHeight="1">
      <x:c r="A22" s="46"/>
      <x:c r="B22" s="46"/>
      <x:c r="C22" s="46"/>
      <x:c r="D22" s="46"/>
      <x:c r="E22" s="88"/>
      <x:c r="F22" s="46"/>
      <x:c r="G22" s="46"/>
      <x:c r="H22" s="83" t="str">
        <x:f>IF(A22="","",IF(OR(F22="Complete",F22="Cancelled"),"",IF(AND(ISNUMBER(E22),ISNUMBER('01 Setup'!$B$31)),IF(E22&lt;'01 Setup'!$B$31,"Overdue","Not overdue"),"Set due/as-of date")))</x:f>
      </x:c>
      <x:c r="I22" s="3"/>
      <x:c r="J22" s="3"/>
      <x:c r="K22" s="3"/>
      <x:c r="L22" s="3"/>
      <x:c r="M22" s="3"/>
      <x:c r="N22" s="3"/>
      <x:c r="O22" s="3"/>
      <x:c r="P22" s="3"/>
      <x:c r="Q22" s="3"/>
      <x:c r="R22" s="3"/>
    </x:row>
    <x:row r="23" ht="34" customHeight="1">
      <x:c r="A23" s="46"/>
      <x:c r="B23" s="46"/>
      <x:c r="C23" s="46"/>
      <x:c r="D23" s="46"/>
      <x:c r="E23" s="88"/>
      <x:c r="F23" s="46"/>
      <x:c r="G23" s="46"/>
      <x:c r="H23" s="83" t="str">
        <x:f>IF(A23="","",IF(OR(F23="Complete",F23="Cancelled"),"",IF(AND(ISNUMBER(E23),ISNUMBER('01 Setup'!$B$31)),IF(E23&lt;'01 Setup'!$B$31,"Overdue","Not overdue"),"Set due/as-of date")))</x:f>
      </x:c>
      <x:c r="I23" s="3"/>
      <x:c r="J23" s="3"/>
      <x:c r="K23" s="3"/>
      <x:c r="L23" s="3"/>
      <x:c r="M23" s="3"/>
      <x:c r="N23" s="3"/>
      <x:c r="O23" s="3"/>
      <x:c r="P23" s="3"/>
      <x:c r="Q23" s="3"/>
      <x:c r="R23" s="3"/>
    </x:row>
    <x:row r="24" ht="34" customHeight="1">
      <x:c r="A24" s="46"/>
      <x:c r="B24" s="46"/>
      <x:c r="C24" s="46"/>
      <x:c r="D24" s="46"/>
      <x:c r="E24" s="88"/>
      <x:c r="F24" s="46"/>
      <x:c r="G24" s="46"/>
      <x:c r="H24" s="83" t="str">
        <x:f>IF(A24="","",IF(OR(F24="Complete",F24="Cancelled"),"",IF(AND(ISNUMBER(E24),ISNUMBER('01 Setup'!$B$31)),IF(E24&lt;'01 Setup'!$B$31,"Overdue","Not overdue"),"Set due/as-of date")))</x:f>
      </x:c>
      <x:c r="I24" s="3"/>
      <x:c r="J24" s="3"/>
      <x:c r="K24" s="3"/>
      <x:c r="L24" s="3"/>
      <x:c r="M24" s="3"/>
      <x:c r="N24" s="3"/>
      <x:c r="O24" s="3"/>
      <x:c r="P24" s="3"/>
      <x:c r="Q24" s="3"/>
      <x:c r="R24" s="3"/>
    </x:row>
    <x:row r="25" ht="34" customHeight="1">
      <x:c r="A25" s="46"/>
      <x:c r="B25" s="46"/>
      <x:c r="C25" s="46"/>
      <x:c r="D25" s="46"/>
      <x:c r="E25" s="88"/>
      <x:c r="F25" s="46"/>
      <x:c r="G25" s="46"/>
      <x:c r="H25" s="83" t="str">
        <x:f>IF(A25="","",IF(OR(F25="Complete",F25="Cancelled"),"",IF(AND(ISNUMBER(E25),ISNUMBER('01 Setup'!$B$31)),IF(E25&lt;'01 Setup'!$B$31,"Overdue","Not overdue"),"Set due/as-of date")))</x:f>
      </x:c>
      <x:c r="I25" s="3"/>
      <x:c r="J25" s="3"/>
      <x:c r="K25" s="3"/>
      <x:c r="L25" s="3"/>
      <x:c r="M25" s="3"/>
      <x:c r="N25" s="3"/>
      <x:c r="O25" s="3"/>
      <x:c r="P25" s="3"/>
      <x:c r="Q25" s="3"/>
      <x:c r="R25" s="3"/>
    </x:row>
    <x:row r="26" ht="34" customHeight="1">
      <x:c r="A26" s="46"/>
      <x:c r="B26" s="46"/>
      <x:c r="C26" s="46"/>
      <x:c r="D26" s="46"/>
      <x:c r="E26" s="88"/>
      <x:c r="F26" s="46"/>
      <x:c r="G26" s="46"/>
      <x:c r="H26" s="83" t="str">
        <x:f>IF(A26="","",IF(OR(F26="Complete",F26="Cancelled"),"",IF(AND(ISNUMBER(E26),ISNUMBER('01 Setup'!$B$31)),IF(E26&lt;'01 Setup'!$B$31,"Overdue","Not overdue"),"Set due/as-of date")))</x:f>
      </x:c>
      <x:c r="I26" s="3"/>
      <x:c r="J26" s="3"/>
      <x:c r="K26" s="3"/>
      <x:c r="L26" s="3"/>
      <x:c r="M26" s="3"/>
      <x:c r="N26" s="3"/>
      <x:c r="O26" s="3"/>
      <x:c r="P26" s="3"/>
      <x:c r="Q26" s="3"/>
      <x:c r="R26" s="3"/>
    </x:row>
    <x:row r="27" ht="34" customHeight="1">
      <x:c r="A27" s="46"/>
      <x:c r="B27" s="46"/>
      <x:c r="C27" s="46"/>
      <x:c r="D27" s="46"/>
      <x:c r="E27" s="88"/>
      <x:c r="F27" s="46"/>
      <x:c r="G27" s="46"/>
      <x:c r="H27" s="83" t="str">
        <x:f>IF(A27="","",IF(OR(F27="Complete",F27="Cancelled"),"",IF(AND(ISNUMBER(E27),ISNUMBER('01 Setup'!$B$31)),IF(E27&lt;'01 Setup'!$B$31,"Overdue","Not overdue"),"Set due/as-of date")))</x:f>
      </x:c>
      <x:c r="I27" s="3"/>
      <x:c r="J27" s="3"/>
      <x:c r="K27" s="3"/>
      <x:c r="L27" s="3"/>
      <x:c r="M27" s="3"/>
      <x:c r="N27" s="3"/>
      <x:c r="O27" s="3"/>
      <x:c r="P27" s="3"/>
      <x:c r="Q27" s="3"/>
      <x:c r="R27" s="3"/>
    </x:row>
    <x:row r="28" ht="34" customHeight="1">
      <x:c r="A28" s="46"/>
      <x:c r="B28" s="46"/>
      <x:c r="C28" s="46"/>
      <x:c r="D28" s="46"/>
      <x:c r="E28" s="88"/>
      <x:c r="F28" s="46"/>
      <x:c r="G28" s="46"/>
      <x:c r="H28" s="83" t="str">
        <x:f>IF(A28="","",IF(OR(F28="Complete",F28="Cancelled"),"",IF(AND(ISNUMBER(E28),ISNUMBER('01 Setup'!$B$31)),IF(E28&lt;'01 Setup'!$B$31,"Overdue","Not overdue"),"Set due/as-of date")))</x:f>
      </x:c>
      <x:c r="I28" s="3"/>
      <x:c r="J28" s="3"/>
      <x:c r="K28" s="3"/>
      <x:c r="L28" s="3"/>
      <x:c r="M28" s="3"/>
      <x:c r="N28" s="3"/>
      <x:c r="O28" s="3"/>
      <x:c r="P28" s="3"/>
      <x:c r="Q28" s="3"/>
      <x:c r="R28" s="3"/>
    </x:row>
    <x:row r="29" ht="34" customHeight="1">
      <x:c r="A29" s="46"/>
      <x:c r="B29" s="46"/>
      <x:c r="C29" s="46"/>
      <x:c r="D29" s="46"/>
      <x:c r="E29" s="88"/>
      <x:c r="F29" s="46"/>
      <x:c r="G29" s="46"/>
      <x:c r="H29" s="83" t="str">
        <x:f>IF(A29="","",IF(OR(F29="Complete",F29="Cancelled"),"",IF(AND(ISNUMBER(E29),ISNUMBER('01 Setup'!$B$31)),IF(E29&lt;'01 Setup'!$B$31,"Overdue","Not overdue"),"Set due/as-of date")))</x:f>
      </x:c>
      <x:c r="I29" s="3"/>
      <x:c r="J29" s="3"/>
      <x:c r="K29" s="3"/>
      <x:c r="L29" s="3"/>
      <x:c r="M29" s="3"/>
      <x:c r="N29" s="3"/>
      <x:c r="O29" s="3"/>
      <x:c r="P29" s="3"/>
      <x:c r="Q29" s="3"/>
      <x:c r="R29" s="3"/>
    </x:row>
    <x:row r="30" ht="34" customHeight="1">
      <x:c r="A30" s="46"/>
      <x:c r="B30" s="46"/>
      <x:c r="C30" s="46"/>
      <x:c r="D30" s="46"/>
      <x:c r="E30" s="88"/>
      <x:c r="F30" s="46"/>
      <x:c r="G30" s="46"/>
      <x:c r="H30" s="83" t="str">
        <x:f>IF(A30="","",IF(OR(F30="Complete",F30="Cancelled"),"",IF(AND(ISNUMBER(E30),ISNUMBER('01 Setup'!$B$31)),IF(E30&lt;'01 Setup'!$B$31,"Overdue","Not overdue"),"Set due/as-of date")))</x:f>
      </x:c>
      <x:c r="I30" s="3"/>
      <x:c r="J30" s="3"/>
      <x:c r="K30" s="3"/>
      <x:c r="L30" s="3"/>
      <x:c r="M30" s="3"/>
      <x:c r="N30" s="3"/>
      <x:c r="O30" s="3"/>
      <x:c r="P30" s="3"/>
      <x:c r="Q30" s="3"/>
      <x:c r="R30" s="3"/>
    </x:row>
    <x:row r="31" ht="34" customHeight="1">
      <x:c r="A31" s="46"/>
      <x:c r="B31" s="46"/>
      <x:c r="C31" s="46"/>
      <x:c r="D31" s="46"/>
      <x:c r="E31" s="88"/>
      <x:c r="F31" s="46"/>
      <x:c r="G31" s="46"/>
      <x:c r="H31" s="83" t="str">
        <x:f>IF(A31="","",IF(OR(F31="Complete",F31="Cancelled"),"",IF(AND(ISNUMBER(E31),ISNUMBER('01 Setup'!$B$31)),IF(E31&lt;'01 Setup'!$B$31,"Overdue","Not overdue"),"Set due/as-of date")))</x:f>
      </x:c>
      <x:c r="I31" s="3"/>
      <x:c r="J31" s="3"/>
      <x:c r="K31" s="3"/>
      <x:c r="L31" s="3"/>
      <x:c r="M31" s="3"/>
      <x:c r="N31" s="3"/>
      <x:c r="O31" s="3"/>
      <x:c r="P31" s="3"/>
      <x:c r="Q31" s="3"/>
      <x:c r="R31" s="3"/>
    </x:row>
    <x:row r="32" ht="34" customHeight="1">
      <x:c r="A32" s="46"/>
      <x:c r="B32" s="46"/>
      <x:c r="C32" s="46"/>
      <x:c r="D32" s="46"/>
      <x:c r="E32" s="88"/>
      <x:c r="F32" s="46"/>
      <x:c r="G32" s="46"/>
      <x:c r="H32" s="83" t="str">
        <x:f>IF(A32="","",IF(OR(F32="Complete",F32="Cancelled"),"",IF(AND(ISNUMBER(E32),ISNUMBER('01 Setup'!$B$31)),IF(E32&lt;'01 Setup'!$B$31,"Overdue","Not overdue"),"Set due/as-of date")))</x:f>
      </x:c>
      <x:c r="I32" s="3"/>
      <x:c r="J32" s="3"/>
      <x:c r="K32" s="3"/>
      <x:c r="L32" s="3"/>
      <x:c r="M32" s="3"/>
      <x:c r="N32" s="3"/>
      <x:c r="O32" s="3"/>
      <x:c r="P32" s="3"/>
      <x:c r="Q32" s="3"/>
      <x:c r="R32" s="3"/>
    </x:row>
    <x:row r="33" ht="34" customHeight="1">
      <x:c r="A33" s="46"/>
      <x:c r="B33" s="46"/>
      <x:c r="C33" s="46"/>
      <x:c r="D33" s="46"/>
      <x:c r="E33" s="88"/>
      <x:c r="F33" s="46"/>
      <x:c r="G33" s="46"/>
      <x:c r="H33" s="83" t="str">
        <x:f>IF(A33="","",IF(OR(F33="Complete",F33="Cancelled"),"",IF(AND(ISNUMBER(E33),ISNUMBER('01 Setup'!$B$31)),IF(E33&lt;'01 Setup'!$B$31,"Overdue","Not overdue"),"Set due/as-of date")))</x:f>
      </x:c>
      <x:c r="I33" s="3"/>
      <x:c r="J33" s="3"/>
      <x:c r="K33" s="3"/>
      <x:c r="L33" s="3"/>
      <x:c r="M33" s="3"/>
      <x:c r="N33" s="3"/>
      <x:c r="O33" s="3"/>
      <x:c r="P33" s="3"/>
      <x:c r="Q33" s="3"/>
      <x:c r="R33" s="3"/>
    </x:row>
    <x:row r="34" ht="34" customHeight="1">
      <x:c r="A34" s="46"/>
      <x:c r="B34" s="46"/>
      <x:c r="C34" s="46"/>
      <x:c r="D34" s="46"/>
      <x:c r="E34" s="88"/>
      <x:c r="F34" s="46"/>
      <x:c r="G34" s="46"/>
      <x:c r="H34" s="83" t="str">
        <x:f>IF(A34="","",IF(OR(F34="Complete",F34="Cancelled"),"",IF(AND(ISNUMBER(E34),ISNUMBER('01 Setup'!$B$31)),IF(E34&lt;'01 Setup'!$B$31,"Overdue","Not overdue"),"Set due/as-of date")))</x:f>
      </x:c>
      <x:c r="I34" s="3"/>
      <x:c r="J34" s="3"/>
      <x:c r="K34" s="3"/>
      <x:c r="L34" s="3"/>
      <x:c r="M34" s="3"/>
      <x:c r="N34" s="3"/>
      <x:c r="O34" s="3"/>
      <x:c r="P34" s="3"/>
      <x:c r="Q34" s="3"/>
      <x:c r="R34" s="3"/>
    </x:row>
    <x:row r="35" ht="34" customHeight="1">
      <x:c r="A35" s="46"/>
      <x:c r="B35" s="46"/>
      <x:c r="C35" s="46"/>
      <x:c r="D35" s="46"/>
      <x:c r="E35" s="88"/>
      <x:c r="F35" s="46"/>
      <x:c r="G35" s="46"/>
      <x:c r="H35" s="83" t="str">
        <x:f>IF(A35="","",IF(OR(F35="Complete",F35="Cancelled"),"",IF(AND(ISNUMBER(E35),ISNUMBER('01 Setup'!$B$31)),IF(E35&lt;'01 Setup'!$B$31,"Overdue","Not overdue"),"Set due/as-of date")))</x:f>
      </x:c>
      <x:c r="I35" s="3"/>
      <x:c r="J35" s="3"/>
      <x:c r="K35" s="3"/>
      <x:c r="L35" s="3"/>
      <x:c r="M35" s="3"/>
      <x:c r="N35" s="3"/>
      <x:c r="O35" s="3"/>
      <x:c r="P35" s="3"/>
      <x:c r="Q35" s="3"/>
      <x:c r="R35" s="3"/>
    </x:row>
    <x:row r="36" ht="34" customHeight="1">
      <x:c r="A36" s="46"/>
      <x:c r="B36" s="46"/>
      <x:c r="C36" s="46"/>
      <x:c r="D36" s="46"/>
      <x:c r="E36" s="88"/>
      <x:c r="F36" s="46"/>
      <x:c r="G36" s="46"/>
      <x:c r="H36" s="83" t="str">
        <x:f>IF(A36="","",IF(OR(F36="Complete",F36="Cancelled"),"",IF(AND(ISNUMBER(E36),ISNUMBER('01 Setup'!$B$31)),IF(E36&lt;'01 Setup'!$B$31,"Overdue","Not overdue"),"Set due/as-of date")))</x:f>
      </x:c>
      <x:c r="I36" s="3"/>
      <x:c r="J36" s="3"/>
      <x:c r="K36" s="3"/>
      <x:c r="L36" s="3"/>
      <x:c r="M36" s="3"/>
      <x:c r="N36" s="3"/>
      <x:c r="O36" s="3"/>
      <x:c r="P36" s="3"/>
      <x:c r="Q36" s="3"/>
      <x:c r="R36" s="3"/>
    </x:row>
    <x:row r="37" ht="34" customHeight="1">
      <x:c r="A37" s="46"/>
      <x:c r="B37" s="46"/>
      <x:c r="C37" s="46"/>
      <x:c r="D37" s="46"/>
      <x:c r="E37" s="88"/>
      <x:c r="F37" s="46"/>
      <x:c r="G37" s="46"/>
      <x:c r="H37" s="83" t="str">
        <x:f>IF(A37="","",IF(OR(F37="Complete",F37="Cancelled"),"",IF(AND(ISNUMBER(E37),ISNUMBER('01 Setup'!$B$31)),IF(E37&lt;'01 Setup'!$B$31,"Overdue","Not overdue"),"Set due/as-of date")))</x:f>
      </x:c>
      <x:c r="I37" s="3"/>
      <x:c r="J37" s="3"/>
      <x:c r="K37" s="3"/>
      <x:c r="L37" s="3"/>
      <x:c r="M37" s="3"/>
      <x:c r="N37" s="3"/>
      <x:c r="O37" s="3"/>
      <x:c r="P37" s="3"/>
      <x:c r="Q37" s="3"/>
      <x:c r="R37" s="3"/>
    </x:row>
    <x:row r="38" ht="34" customHeight="1">
      <x:c r="A38" s="46"/>
      <x:c r="B38" s="46"/>
      <x:c r="C38" s="46"/>
      <x:c r="D38" s="46"/>
      <x:c r="E38" s="88"/>
      <x:c r="F38" s="46"/>
      <x:c r="G38" s="46"/>
      <x:c r="H38" s="83" t="str">
        <x:f>IF(A38="","",IF(OR(F38="Complete",F38="Cancelled"),"",IF(AND(ISNUMBER(E38),ISNUMBER('01 Setup'!$B$31)),IF(E38&lt;'01 Setup'!$B$31,"Overdue","Not overdue"),"Set due/as-of date")))</x:f>
      </x:c>
      <x:c r="I38" s="3"/>
      <x:c r="J38" s="3"/>
      <x:c r="K38" s="3"/>
      <x:c r="L38" s="3"/>
      <x:c r="M38" s="3"/>
      <x:c r="N38" s="3"/>
      <x:c r="O38" s="3"/>
      <x:c r="P38" s="3"/>
      <x:c r="Q38" s="3"/>
      <x:c r="R38" s="3"/>
    </x:row>
    <x:row r="39" ht="34" customHeight="1">
      <x:c r="A39" s="46"/>
      <x:c r="B39" s="46"/>
      <x:c r="C39" s="46"/>
      <x:c r="D39" s="46"/>
      <x:c r="E39" s="88"/>
      <x:c r="F39" s="46"/>
      <x:c r="G39" s="46"/>
      <x:c r="H39" s="83" t="str">
        <x:f>IF(A39="","",IF(OR(F39="Complete",F39="Cancelled"),"",IF(AND(ISNUMBER(E39),ISNUMBER('01 Setup'!$B$31)),IF(E39&lt;'01 Setup'!$B$31,"Overdue","Not overdue"),"Set due/as-of date")))</x:f>
      </x:c>
      <x:c r="I39" s="3"/>
      <x:c r="J39" s="3"/>
      <x:c r="K39" s="3"/>
      <x:c r="L39" s="3"/>
      <x:c r="M39" s="3"/>
      <x:c r="N39" s="3"/>
      <x:c r="O39" s="3"/>
      <x:c r="P39" s="3"/>
      <x:c r="Q39" s="3"/>
      <x:c r="R39" s="3"/>
    </x:row>
    <x:row r="40" ht="34" customHeight="1">
      <x:c r="A40" s="46"/>
      <x:c r="B40" s="46"/>
      <x:c r="C40" s="46"/>
      <x:c r="D40" s="46"/>
      <x:c r="E40" s="88"/>
      <x:c r="F40" s="46"/>
      <x:c r="G40" s="46"/>
      <x:c r="H40" s="83" t="str">
        <x:f>IF(A40="","",IF(OR(F40="Complete",F40="Cancelled"),"",IF(AND(ISNUMBER(E40),ISNUMBER('01 Setup'!$B$31)),IF(E40&lt;'01 Setup'!$B$31,"Overdue","Not overdue"),"Set due/as-of date")))</x:f>
      </x:c>
      <x:c r="I40" s="3"/>
      <x:c r="J40" s="3"/>
      <x:c r="K40" s="3"/>
      <x:c r="L40" s="3"/>
      <x:c r="M40" s="3"/>
      <x:c r="N40" s="3"/>
      <x:c r="O40" s="3"/>
      <x:c r="P40" s="3"/>
      <x:c r="Q40" s="3"/>
      <x:c r="R40" s="3"/>
    </x:row>
    <x:row r="41" ht="34" customHeight="1">
      <x:c r="A41" s="46"/>
      <x:c r="B41" s="46"/>
      <x:c r="C41" s="46"/>
      <x:c r="D41" s="46"/>
      <x:c r="E41" s="88"/>
      <x:c r="F41" s="46"/>
      <x:c r="G41" s="46"/>
      <x:c r="H41" s="83" t="str">
        <x:f>IF(A41="","",IF(OR(F41="Complete",F41="Cancelled"),"",IF(AND(ISNUMBER(E41),ISNUMBER('01 Setup'!$B$31)),IF(E41&lt;'01 Setup'!$B$31,"Overdue","Not overdue"),"Set due/as-of date")))</x:f>
      </x:c>
      <x:c r="I41" s="3"/>
      <x:c r="J41" s="3"/>
      <x:c r="K41" s="3"/>
      <x:c r="L41" s="3"/>
      <x:c r="M41" s="3"/>
      <x:c r="N41" s="3"/>
      <x:c r="O41" s="3"/>
      <x:c r="P41" s="3"/>
      <x:c r="Q41" s="3"/>
      <x:c r="R41" s="3"/>
    </x:row>
    <x:row r="42" ht="34" customHeight="1">
      <x:c r="A42" s="46"/>
      <x:c r="B42" s="46"/>
      <x:c r="C42" s="46"/>
      <x:c r="D42" s="46"/>
      <x:c r="E42" s="88"/>
      <x:c r="F42" s="46"/>
      <x:c r="G42" s="46"/>
      <x:c r="H42" s="83" t="str">
        <x:f>IF(A42="","",IF(OR(F42="Complete",F42="Cancelled"),"",IF(AND(ISNUMBER(E42),ISNUMBER('01 Setup'!$B$31)),IF(E42&lt;'01 Setup'!$B$31,"Overdue","Not overdue"),"Set due/as-of date")))</x:f>
      </x:c>
      <x:c r="I42" s="3"/>
      <x:c r="J42" s="3"/>
      <x:c r="K42" s="3"/>
      <x:c r="L42" s="3"/>
      <x:c r="M42" s="3"/>
      <x:c r="N42" s="3"/>
      <x:c r="O42" s="3"/>
      <x:c r="P42" s="3"/>
      <x:c r="Q42" s="3"/>
      <x:c r="R42" s="3"/>
    </x:row>
    <x:row r="43" ht="34" customHeight="1">
      <x:c r="A43" s="46"/>
      <x:c r="B43" s="46"/>
      <x:c r="C43" s="46"/>
      <x:c r="D43" s="46"/>
      <x:c r="E43" s="88"/>
      <x:c r="F43" s="46"/>
      <x:c r="G43" s="46"/>
      <x:c r="H43" s="83" t="str">
        <x:f>IF(A43="","",IF(OR(F43="Complete",F43="Cancelled"),"",IF(AND(ISNUMBER(E43),ISNUMBER('01 Setup'!$B$31)),IF(E43&lt;'01 Setup'!$B$31,"Overdue","Not overdue"),"Set due/as-of date")))</x:f>
      </x:c>
      <x:c r="I43" s="3"/>
      <x:c r="J43" s="3"/>
      <x:c r="K43" s="3"/>
      <x:c r="L43" s="3"/>
      <x:c r="M43" s="3"/>
      <x:c r="N43" s="3"/>
      <x:c r="O43" s="3"/>
      <x:c r="P43" s="3"/>
      <x:c r="Q43" s="3"/>
      <x:c r="R43" s="3"/>
    </x:row>
    <x:row r="44" ht="34" customHeight="1">
      <x:c r="A44" s="46"/>
      <x:c r="B44" s="46"/>
      <x:c r="C44" s="46"/>
      <x:c r="D44" s="46"/>
      <x:c r="E44" s="88"/>
      <x:c r="F44" s="46"/>
      <x:c r="G44" s="46"/>
      <x:c r="H44" s="83" t="str">
        <x:f>IF(A44="","",IF(OR(F44="Complete",F44="Cancelled"),"",IF(AND(ISNUMBER(E44),ISNUMBER('01 Setup'!$B$31)),IF(E44&lt;'01 Setup'!$B$31,"Overdue","Not overdue"),"Set due/as-of date")))</x:f>
      </x:c>
      <x:c r="I44" s="3"/>
      <x:c r="J44" s="3"/>
      <x:c r="K44" s="3"/>
      <x:c r="L44" s="3"/>
      <x:c r="M44" s="3"/>
      <x:c r="N44" s="3"/>
      <x:c r="O44" s="3"/>
      <x:c r="P44" s="3"/>
      <x:c r="Q44" s="3"/>
      <x:c r="R44" s="3"/>
    </x:row>
    <x:row r="45" ht="34" customHeight="1">
      <x:c r="A45" s="46"/>
      <x:c r="B45" s="46"/>
      <x:c r="C45" s="46"/>
      <x:c r="D45" s="46"/>
      <x:c r="E45" s="88"/>
      <x:c r="F45" s="46"/>
      <x:c r="G45" s="46"/>
      <x:c r="H45" s="83" t="str">
        <x:f>IF(A45="","",IF(OR(F45="Complete",F45="Cancelled"),"",IF(AND(ISNUMBER(E45),ISNUMBER('01 Setup'!$B$31)),IF(E45&lt;'01 Setup'!$B$31,"Overdue","Not overdue"),"Set due/as-of date")))</x:f>
      </x:c>
      <x:c r="I45" s="3"/>
      <x:c r="J45" s="3"/>
      <x:c r="K45" s="3"/>
      <x:c r="L45" s="3"/>
      <x:c r="M45" s="3"/>
      <x:c r="N45" s="3"/>
      <x:c r="O45" s="3"/>
      <x:c r="P45" s="3"/>
      <x:c r="Q45" s="3"/>
      <x:c r="R45" s="3"/>
    </x:row>
    <x:row r="46" ht="34" customHeight="1">
      <x:c r="A46" s="46"/>
      <x:c r="B46" s="46"/>
      <x:c r="C46" s="46"/>
      <x:c r="D46" s="46"/>
      <x:c r="E46" s="88"/>
      <x:c r="F46" s="46"/>
      <x:c r="G46" s="46"/>
      <x:c r="H46" s="83" t="str">
        <x:f>IF(A46="","",IF(OR(F46="Complete",F46="Cancelled"),"",IF(AND(ISNUMBER(E46),ISNUMBER('01 Setup'!$B$31)),IF(E46&lt;'01 Setup'!$B$31,"Overdue","Not overdue"),"Set due/as-of date")))</x:f>
      </x:c>
      <x:c r="I46" s="3"/>
      <x:c r="J46" s="3"/>
      <x:c r="K46" s="3"/>
      <x:c r="L46" s="3"/>
      <x:c r="M46" s="3"/>
      <x:c r="N46" s="3"/>
      <x:c r="O46" s="3"/>
      <x:c r="P46" s="3"/>
      <x:c r="Q46" s="3"/>
      <x:c r="R46" s="3"/>
    </x:row>
    <x:row r="47" ht="34" customHeight="1">
      <x:c r="A47" s="46"/>
      <x:c r="B47" s="46"/>
      <x:c r="C47" s="46"/>
      <x:c r="D47" s="46"/>
      <x:c r="E47" s="88"/>
      <x:c r="F47" s="46"/>
      <x:c r="G47" s="46"/>
      <x:c r="H47" s="83" t="str">
        <x:f>IF(A47="","",IF(OR(F47="Complete",F47="Cancelled"),"",IF(AND(ISNUMBER(E47),ISNUMBER('01 Setup'!$B$31)),IF(E47&lt;'01 Setup'!$B$31,"Overdue","Not overdue"),"Set due/as-of date")))</x:f>
      </x:c>
      <x:c r="I47" s="3"/>
      <x:c r="J47" s="3"/>
      <x:c r="K47" s="3"/>
      <x:c r="L47" s="3"/>
      <x:c r="M47" s="3"/>
      <x:c r="N47" s="3"/>
      <x:c r="O47" s="3"/>
      <x:c r="P47" s="3"/>
      <x:c r="Q47" s="3"/>
      <x:c r="R47" s="3"/>
    </x:row>
    <x:row r="48" ht="34" customHeight="1">
      <x:c r="A48" s="46"/>
      <x:c r="B48" s="46"/>
      <x:c r="C48" s="46"/>
      <x:c r="D48" s="46"/>
      <x:c r="E48" s="88"/>
      <x:c r="F48" s="46"/>
      <x:c r="G48" s="46"/>
      <x:c r="H48" s="83" t="str">
        <x:f>IF(A48="","",IF(OR(F48="Complete",F48="Cancelled"),"",IF(AND(ISNUMBER(E48),ISNUMBER('01 Setup'!$B$31)),IF(E48&lt;'01 Setup'!$B$31,"Overdue","Not overdue"),"Set due/as-of date")))</x:f>
      </x:c>
      <x:c r="I48" s="3"/>
      <x:c r="J48" s="3"/>
      <x:c r="K48" s="3"/>
      <x:c r="L48" s="3"/>
      <x:c r="M48" s="3"/>
      <x:c r="N48" s="3"/>
      <x:c r="O48" s="3"/>
      <x:c r="P48" s="3"/>
      <x:c r="Q48" s="3"/>
      <x:c r="R48" s="3"/>
    </x:row>
    <x:row r="49" ht="34" customHeight="1">
      <x:c r="A49" s="46"/>
      <x:c r="B49" s="46"/>
      <x:c r="C49" s="46"/>
      <x:c r="D49" s="46"/>
      <x:c r="E49" s="88"/>
      <x:c r="F49" s="46"/>
      <x:c r="G49" s="46"/>
      <x:c r="H49" s="83" t="str">
        <x:f>IF(A49="","",IF(OR(F49="Complete",F49="Cancelled"),"",IF(AND(ISNUMBER(E49),ISNUMBER('01 Setup'!$B$31)),IF(E49&lt;'01 Setup'!$B$31,"Overdue","Not overdue"),"Set due/as-of date")))</x:f>
      </x:c>
      <x:c r="I49" s="3"/>
      <x:c r="J49" s="3"/>
      <x:c r="K49" s="3"/>
      <x:c r="L49" s="3"/>
      <x:c r="M49" s="3"/>
      <x:c r="N49" s="3"/>
      <x:c r="O49" s="3"/>
      <x:c r="P49" s="3"/>
      <x:c r="Q49" s="3"/>
      <x:c r="R49" s="3"/>
    </x:row>
    <x:row r="50" ht="34" customHeight="1">
      <x:c r="A50" s="46"/>
      <x:c r="B50" s="46"/>
      <x:c r="C50" s="46"/>
      <x:c r="D50" s="46"/>
      <x:c r="E50" s="88"/>
      <x:c r="F50" s="46"/>
      <x:c r="G50" s="46"/>
      <x:c r="H50" s="83" t="str">
        <x:f>IF(A50="","",IF(OR(F50="Complete",F50="Cancelled"),"",IF(AND(ISNUMBER(E50),ISNUMBER('01 Setup'!$B$31)),IF(E50&lt;'01 Setup'!$B$31,"Overdue","Not overdue"),"Set due/as-of date")))</x:f>
      </x:c>
      <x:c r="I50" s="3"/>
      <x:c r="J50" s="3"/>
      <x:c r="K50" s="3"/>
      <x:c r="L50" s="3"/>
      <x:c r="M50" s="3"/>
      <x:c r="N50" s="3"/>
      <x:c r="O50" s="3"/>
      <x:c r="P50" s="3"/>
      <x:c r="Q50" s="3"/>
      <x:c r="R50" s="3"/>
    </x:row>
    <x:row r="51" ht="34" customHeight="1">
      <x:c r="A51" s="46"/>
      <x:c r="B51" s="46"/>
      <x:c r="C51" s="46"/>
      <x:c r="D51" s="46"/>
      <x:c r="E51" s="88"/>
      <x:c r="F51" s="46"/>
      <x:c r="G51" s="46"/>
      <x:c r="H51" s="83" t="str">
        <x:f>IF(A51="","",IF(OR(F51="Complete",F51="Cancelled"),"",IF(AND(ISNUMBER(E51),ISNUMBER('01 Setup'!$B$31)),IF(E51&lt;'01 Setup'!$B$31,"Overdue","Not overdue"),"Set due/as-of date")))</x:f>
      </x:c>
      <x:c r="I51" s="3"/>
      <x:c r="J51" s="3"/>
      <x:c r="K51" s="3"/>
      <x:c r="L51" s="3"/>
      <x:c r="M51" s="3"/>
      <x:c r="N51" s="3"/>
      <x:c r="O51" s="3"/>
      <x:c r="P51" s="3"/>
      <x:c r="Q51" s="3"/>
      <x:c r="R51" s="3"/>
    </x:row>
    <x:row r="52" ht="34" customHeight="1">
      <x:c r="A52" s="46"/>
      <x:c r="B52" s="46"/>
      <x:c r="C52" s="46"/>
      <x:c r="D52" s="46"/>
      <x:c r="E52" s="88"/>
      <x:c r="F52" s="46"/>
      <x:c r="G52" s="46"/>
      <x:c r="H52" s="83" t="str">
        <x:f>IF(A52="","",IF(OR(F52="Complete",F52="Cancelled"),"",IF(AND(ISNUMBER(E52),ISNUMBER('01 Setup'!$B$31)),IF(E52&lt;'01 Setup'!$B$31,"Overdue","Not overdue"),"Set due/as-of date")))</x:f>
      </x:c>
      <x:c r="I52" s="3"/>
      <x:c r="J52" s="3"/>
      <x:c r="K52" s="3"/>
      <x:c r="L52" s="3"/>
      <x:c r="M52" s="3"/>
      <x:c r="N52" s="3"/>
      <x:c r="O52" s="3"/>
      <x:c r="P52" s="3"/>
      <x:c r="Q52" s="3"/>
      <x:c r="R52" s="3"/>
    </x:row>
    <x:row r="53" ht="34" customHeight="1">
      <x:c r="A53" s="46"/>
      <x:c r="B53" s="46"/>
      <x:c r="C53" s="46"/>
      <x:c r="D53" s="46"/>
      <x:c r="E53" s="88"/>
      <x:c r="F53" s="46"/>
      <x:c r="G53" s="46"/>
      <x:c r="H53" s="83" t="str">
        <x:f>IF(A53="","",IF(OR(F53="Complete",F53="Cancelled"),"",IF(AND(ISNUMBER(E53),ISNUMBER('01 Setup'!$B$31)),IF(E53&lt;'01 Setup'!$B$31,"Overdue","Not overdue"),"Set due/as-of date")))</x:f>
      </x:c>
      <x:c r="I53" s="3"/>
      <x:c r="J53" s="3"/>
      <x:c r="K53" s="3"/>
      <x:c r="L53" s="3"/>
      <x:c r="M53" s="3"/>
      <x:c r="N53" s="3"/>
      <x:c r="O53" s="3"/>
      <x:c r="P53" s="3"/>
      <x:c r="Q53" s="3"/>
      <x:c r="R53" s="3"/>
    </x:row>
    <x:row r="54" ht="34" customHeight="1">
      <x:c r="A54" s="46"/>
      <x:c r="B54" s="46"/>
      <x:c r="C54" s="46"/>
      <x:c r="D54" s="46"/>
      <x:c r="E54" s="88"/>
      <x:c r="F54" s="46"/>
      <x:c r="G54" s="46"/>
      <x:c r="H54" s="83" t="str">
        <x:f>IF(A54="","",IF(OR(F54="Complete",F54="Cancelled"),"",IF(AND(ISNUMBER(E54),ISNUMBER('01 Setup'!$B$31)),IF(E54&lt;'01 Setup'!$B$31,"Overdue","Not overdue"),"Set due/as-of date")))</x:f>
      </x:c>
      <x:c r="I54" s="3"/>
      <x:c r="J54" s="3"/>
      <x:c r="K54" s="3"/>
      <x:c r="L54" s="3"/>
      <x:c r="M54" s="3"/>
      <x:c r="N54" s="3"/>
      <x:c r="O54" s="3"/>
      <x:c r="P54" s="3"/>
      <x:c r="Q54" s="3"/>
      <x:c r="R54" s="3"/>
    </x:row>
    <x:row r="55" ht="34" customHeight="1">
      <x:c r="A55" s="46"/>
      <x:c r="B55" s="46"/>
      <x:c r="C55" s="46"/>
      <x:c r="D55" s="46"/>
      <x:c r="E55" s="88"/>
      <x:c r="F55" s="46"/>
      <x:c r="G55" s="46"/>
      <x:c r="H55" s="83" t="str">
        <x:f>IF(A55="","",IF(OR(F55="Complete",F55="Cancelled"),"",IF(AND(ISNUMBER(E55),ISNUMBER('01 Setup'!$B$31)),IF(E55&lt;'01 Setup'!$B$31,"Overdue","Not overdue"),"Set due/as-of date")))</x:f>
      </x:c>
      <x:c r="I55" s="3"/>
      <x:c r="J55" s="3"/>
      <x:c r="K55" s="3"/>
      <x:c r="L55" s="3"/>
      <x:c r="M55" s="3"/>
      <x:c r="N55" s="3"/>
      <x:c r="O55" s="3"/>
      <x:c r="P55" s="3"/>
      <x:c r="Q55" s="3"/>
      <x:c r="R55" s="3"/>
    </x:row>
    <x:row r="56" ht="34" customHeight="1">
      <x:c r="A56" s="46"/>
      <x:c r="B56" s="46"/>
      <x:c r="C56" s="46"/>
      <x:c r="D56" s="46"/>
      <x:c r="E56" s="88"/>
      <x:c r="F56" s="46"/>
      <x:c r="G56" s="46"/>
      <x:c r="H56" s="83" t="str">
        <x:f>IF(A56="","",IF(OR(F56="Complete",F56="Cancelled"),"",IF(AND(ISNUMBER(E56),ISNUMBER('01 Setup'!$B$31)),IF(E56&lt;'01 Setup'!$B$31,"Overdue","Not overdue"),"Set due/as-of date")))</x:f>
      </x:c>
      <x:c r="I56" s="3"/>
      <x:c r="J56" s="3"/>
      <x:c r="K56" s="3"/>
      <x:c r="L56" s="3"/>
      <x:c r="M56" s="3"/>
      <x:c r="N56" s="3"/>
      <x:c r="O56" s="3"/>
      <x:c r="P56" s="3"/>
      <x:c r="Q56" s="3"/>
      <x:c r="R56" s="3"/>
    </x:row>
    <x:row r="57" ht="34" customHeight="1">
      <x:c r="A57" s="46"/>
      <x:c r="B57" s="46"/>
      <x:c r="C57" s="46"/>
      <x:c r="D57" s="46"/>
      <x:c r="E57" s="88"/>
      <x:c r="F57" s="46"/>
      <x:c r="G57" s="46"/>
      <x:c r="H57" s="83" t="str">
        <x:f>IF(A57="","",IF(OR(F57="Complete",F57="Cancelled"),"",IF(AND(ISNUMBER(E57),ISNUMBER('01 Setup'!$B$31)),IF(E57&lt;'01 Setup'!$B$31,"Overdue","Not overdue"),"Set due/as-of date")))</x:f>
      </x:c>
      <x:c r="I57" s="3"/>
      <x:c r="J57" s="3"/>
      <x:c r="K57" s="3"/>
      <x:c r="L57" s="3"/>
      <x:c r="M57" s="3"/>
      <x:c r="N57" s="3"/>
      <x:c r="O57" s="3"/>
      <x:c r="P57" s="3"/>
      <x:c r="Q57" s="3"/>
      <x:c r="R57" s="3"/>
    </x:row>
    <x:row r="58" ht="34" customHeight="1">
      <x:c r="A58" s="46"/>
      <x:c r="B58" s="46"/>
      <x:c r="C58" s="46"/>
      <x:c r="D58" s="46"/>
      <x:c r="E58" s="88"/>
      <x:c r="F58" s="46"/>
      <x:c r="G58" s="46"/>
      <x:c r="H58" s="83" t="str">
        <x:f>IF(A58="","",IF(OR(F58="Complete",F58="Cancelled"),"",IF(AND(ISNUMBER(E58),ISNUMBER('01 Setup'!$B$31)),IF(E58&lt;'01 Setup'!$B$31,"Overdue","Not overdue"),"Set due/as-of date")))</x:f>
      </x:c>
      <x:c r="I58" s="3"/>
      <x:c r="J58" s="3"/>
      <x:c r="K58" s="3"/>
      <x:c r="L58" s="3"/>
      <x:c r="M58" s="3"/>
      <x:c r="N58" s="3"/>
      <x:c r="O58" s="3"/>
      <x:c r="P58" s="3"/>
      <x:c r="Q58" s="3"/>
      <x:c r="R58" s="3"/>
    </x:row>
    <x:row r="59" ht="34" customHeight="1">
      <x:c r="A59" s="46"/>
      <x:c r="B59" s="46"/>
      <x:c r="C59" s="46"/>
      <x:c r="D59" s="46"/>
      <x:c r="E59" s="88"/>
      <x:c r="F59" s="46"/>
      <x:c r="G59" s="46"/>
      <x:c r="H59" s="83" t="str">
        <x:f>IF(A59="","",IF(OR(F59="Complete",F59="Cancelled"),"",IF(AND(ISNUMBER(E59),ISNUMBER('01 Setup'!$B$31)),IF(E59&lt;'01 Setup'!$B$31,"Overdue","Not overdue"),"Set due/as-of date")))</x:f>
      </x:c>
      <x:c r="I59" s="3"/>
      <x:c r="J59" s="3"/>
      <x:c r="K59" s="3"/>
      <x:c r="L59" s="3"/>
      <x:c r="M59" s="3"/>
      <x:c r="N59" s="3"/>
      <x:c r="O59" s="3"/>
      <x:c r="P59" s="3"/>
      <x:c r="Q59" s="3"/>
      <x:c r="R59" s="3"/>
    </x:row>
    <x:row r="60" ht="34" customHeight="1">
      <x:c r="A60" s="46"/>
      <x:c r="B60" s="46"/>
      <x:c r="C60" s="46"/>
      <x:c r="D60" s="46"/>
      <x:c r="E60" s="88"/>
      <x:c r="F60" s="46"/>
      <x:c r="G60" s="46"/>
      <x:c r="H60" s="83" t="str">
        <x:f>IF(A60="","",IF(OR(F60="Complete",F60="Cancelled"),"",IF(AND(ISNUMBER(E60),ISNUMBER('01 Setup'!$B$31)),IF(E60&lt;'01 Setup'!$B$31,"Overdue","Not overdue"),"Set due/as-of date")))</x:f>
      </x:c>
      <x:c r="I60" s="3"/>
      <x:c r="J60" s="3"/>
      <x:c r="K60" s="3"/>
      <x:c r="L60" s="3"/>
      <x:c r="M60" s="3"/>
      <x:c r="N60" s="3"/>
      <x:c r="O60" s="3"/>
      <x:c r="P60" s="3"/>
      <x:c r="Q60" s="3"/>
      <x:c r="R60" s="3"/>
    </x:row>
    <x:row r="61" ht="34" customHeight="1">
      <x:c r="A61" s="46"/>
      <x:c r="B61" s="46"/>
      <x:c r="C61" s="46"/>
      <x:c r="D61" s="46"/>
      <x:c r="E61" s="88"/>
      <x:c r="F61" s="46"/>
      <x:c r="G61" s="46"/>
      <x:c r="H61" s="83" t="str">
        <x:f>IF(A61="","",IF(OR(F61="Complete",F61="Cancelled"),"",IF(AND(ISNUMBER(E61),ISNUMBER('01 Setup'!$B$31)),IF(E61&lt;'01 Setup'!$B$31,"Overdue","Not overdue"),"Set due/as-of date")))</x:f>
      </x:c>
      <x:c r="I61" s="3"/>
      <x:c r="J61" s="3"/>
      <x:c r="K61" s="3"/>
      <x:c r="L61" s="3"/>
      <x:c r="M61" s="3"/>
      <x:c r="N61" s="3"/>
      <x:c r="O61" s="3"/>
      <x:c r="P61" s="3"/>
      <x:c r="Q61" s="3"/>
      <x:c r="R61" s="3"/>
    </x:row>
    <x:row r="62" ht="34" customHeight="1">
      <x:c r="A62" s="46"/>
      <x:c r="B62" s="46"/>
      <x:c r="C62" s="46"/>
      <x:c r="D62" s="46"/>
      <x:c r="E62" s="88"/>
      <x:c r="F62" s="46"/>
      <x:c r="G62" s="46"/>
      <x:c r="H62" s="83" t="str">
        <x:f>IF(A62="","",IF(OR(F62="Complete",F62="Cancelled"),"",IF(AND(ISNUMBER(E62),ISNUMBER('01 Setup'!$B$31)),IF(E62&lt;'01 Setup'!$B$31,"Overdue","Not overdue"),"Set due/as-of date")))</x:f>
      </x:c>
      <x:c r="I62" s="3"/>
      <x:c r="J62" s="3"/>
      <x:c r="K62" s="3"/>
      <x:c r="L62" s="3"/>
      <x:c r="M62" s="3"/>
      <x:c r="N62" s="3"/>
      <x:c r="O62" s="3"/>
      <x:c r="P62" s="3"/>
      <x:c r="Q62" s="3"/>
      <x:c r="R62" s="3"/>
    </x:row>
    <x:row r="63" ht="34" customHeight="1">
      <x:c r="A63" s="46"/>
      <x:c r="B63" s="46"/>
      <x:c r="C63" s="46"/>
      <x:c r="D63" s="46"/>
      <x:c r="E63" s="88"/>
      <x:c r="F63" s="46"/>
      <x:c r="G63" s="46"/>
      <x:c r="H63" s="83" t="str">
        <x:f>IF(A63="","",IF(OR(F63="Complete",F63="Cancelled"),"",IF(AND(ISNUMBER(E63),ISNUMBER('01 Setup'!$B$31)),IF(E63&lt;'01 Setup'!$B$31,"Overdue","Not overdue"),"Set due/as-of date")))</x:f>
      </x:c>
      <x:c r="I63" s="3"/>
      <x:c r="J63" s="3"/>
      <x:c r="K63" s="3"/>
      <x:c r="L63" s="3"/>
      <x:c r="M63" s="3"/>
      <x:c r="N63" s="3"/>
      <x:c r="O63" s="3"/>
      <x:c r="P63" s="3"/>
      <x:c r="Q63" s="3"/>
      <x:c r="R63" s="3"/>
    </x:row>
    <x:row r="64" ht="34" customHeight="1">
      <x:c r="A64" s="46"/>
      <x:c r="B64" s="46"/>
      <x:c r="C64" s="46"/>
      <x:c r="D64" s="46"/>
      <x:c r="E64" s="88"/>
      <x:c r="F64" s="46"/>
      <x:c r="G64" s="46"/>
      <x:c r="H64" s="83" t="str">
        <x:f>IF(A64="","",IF(OR(F64="Complete",F64="Cancelled"),"",IF(AND(ISNUMBER(E64),ISNUMBER('01 Setup'!$B$31)),IF(E64&lt;'01 Setup'!$B$31,"Overdue","Not overdue"),"Set due/as-of date")))</x:f>
      </x:c>
      <x:c r="I64" s="3"/>
      <x:c r="J64" s="3"/>
      <x:c r="K64" s="3"/>
      <x:c r="L64" s="3"/>
      <x:c r="M64" s="3"/>
      <x:c r="N64" s="3"/>
      <x:c r="O64" s="3"/>
      <x:c r="P64" s="3"/>
      <x:c r="Q64" s="3"/>
      <x:c r="R64" s="3"/>
    </x:row>
    <x:row r="65" ht="34" customHeight="1">
      <x:c r="A65" s="46"/>
      <x:c r="B65" s="46"/>
      <x:c r="C65" s="46"/>
      <x:c r="D65" s="46"/>
      <x:c r="E65" s="88"/>
      <x:c r="F65" s="46"/>
      <x:c r="G65" s="46"/>
      <x:c r="H65" s="83" t="str">
        <x:f>IF(A65="","",IF(OR(F65="Complete",F65="Cancelled"),"",IF(AND(ISNUMBER(E65),ISNUMBER('01 Setup'!$B$31)),IF(E65&lt;'01 Setup'!$B$31,"Overdue","Not overdue"),"Set due/as-of date")))</x:f>
      </x:c>
      <x:c r="I65" s="3"/>
      <x:c r="J65" s="3"/>
      <x:c r="K65" s="3"/>
      <x:c r="L65" s="3"/>
      <x:c r="M65" s="3"/>
      <x:c r="N65" s="3"/>
      <x:c r="O65" s="3"/>
      <x:c r="P65" s="3"/>
      <x:c r="Q65" s="3"/>
      <x:c r="R65" s="3"/>
    </x:row>
    <x:row r="66" ht="34" customHeight="1">
      <x:c r="A66" s="46"/>
      <x:c r="B66" s="46"/>
      <x:c r="C66" s="46"/>
      <x:c r="D66" s="46"/>
      <x:c r="E66" s="88"/>
      <x:c r="F66" s="46"/>
      <x:c r="G66" s="46"/>
      <x:c r="H66" s="83" t="str">
        <x:f>IF(A66="","",IF(OR(F66="Complete",F66="Cancelled"),"",IF(AND(ISNUMBER(E66),ISNUMBER('01 Setup'!$B$31)),IF(E66&lt;'01 Setup'!$B$31,"Overdue","Not overdue"),"Set due/as-of date")))</x:f>
      </x:c>
      <x:c r="I66" s="3"/>
      <x:c r="J66" s="3"/>
      <x:c r="K66" s="3"/>
      <x:c r="L66" s="3"/>
      <x:c r="M66" s="3"/>
      <x:c r="N66" s="3"/>
      <x:c r="O66" s="3"/>
      <x:c r="P66" s="3"/>
      <x:c r="Q66" s="3"/>
      <x:c r="R66" s="3"/>
    </x:row>
    <x:row r="67" ht="34" customHeight="1">
      <x:c r="A67" s="46"/>
      <x:c r="B67" s="46"/>
      <x:c r="C67" s="46"/>
      <x:c r="D67" s="46"/>
      <x:c r="E67" s="88"/>
      <x:c r="F67" s="46"/>
      <x:c r="G67" s="46"/>
      <x:c r="H67" s="83" t="str">
        <x:f>IF(A67="","",IF(OR(F67="Complete",F67="Cancelled"),"",IF(AND(ISNUMBER(E67),ISNUMBER('01 Setup'!$B$31)),IF(E67&lt;'01 Setup'!$B$31,"Overdue","Not overdue"),"Set due/as-of date")))</x:f>
      </x:c>
      <x:c r="I67" s="3"/>
      <x:c r="J67" s="3"/>
      <x:c r="K67" s="3"/>
      <x:c r="L67" s="3"/>
      <x:c r="M67" s="3"/>
      <x:c r="N67" s="3"/>
      <x:c r="O67" s="3"/>
      <x:c r="P67" s="3"/>
      <x:c r="Q67" s="3"/>
      <x:c r="R67" s="3"/>
    </x:row>
    <x:row r="68" ht="34" customHeight="1">
      <x:c r="A68" s="46"/>
      <x:c r="B68" s="46"/>
      <x:c r="C68" s="46"/>
      <x:c r="D68" s="46"/>
      <x:c r="E68" s="88"/>
      <x:c r="F68" s="46"/>
      <x:c r="G68" s="46"/>
      <x:c r="H68" s="83" t="str">
        <x:f>IF(A68="","",IF(OR(F68="Complete",F68="Cancelled"),"",IF(AND(ISNUMBER(E68),ISNUMBER('01 Setup'!$B$31)),IF(E68&lt;'01 Setup'!$B$31,"Overdue","Not overdue"),"Set due/as-of date")))</x:f>
      </x:c>
      <x:c r="I68" s="3"/>
      <x:c r="J68" s="3"/>
      <x:c r="K68" s="3"/>
      <x:c r="L68" s="3"/>
      <x:c r="M68" s="3"/>
      <x:c r="N68" s="3"/>
      <x:c r="O68" s="3"/>
      <x:c r="P68" s="3"/>
      <x:c r="Q68" s="3"/>
      <x:c r="R68" s="3"/>
    </x:row>
    <x:row r="69" ht="34" customHeight="1">
      <x:c r="A69" s="46"/>
      <x:c r="B69" s="46"/>
      <x:c r="C69" s="46"/>
      <x:c r="D69" s="46"/>
      <x:c r="E69" s="88"/>
      <x:c r="F69" s="46"/>
      <x:c r="G69" s="46"/>
      <x:c r="H69" s="83" t="str">
        <x:f>IF(A69="","",IF(OR(F69="Complete",F69="Cancelled"),"",IF(AND(ISNUMBER(E69),ISNUMBER('01 Setup'!$B$31)),IF(E69&lt;'01 Setup'!$B$31,"Overdue","Not overdue"),"Set due/as-of date")))</x:f>
      </x:c>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D06</x:v>
      </x:c>
      <x:c r="B110" s="34"/>
      <x:c r="C110" s="34"/>
      <x:c r="D110" s="34"/>
      <x:c r="E110" s="34"/>
      <x:c r="F110" s="34"/>
      <x:c r="G110" s="34"/>
      <x:c r="H110" s="34"/>
      <x:c r="I110" s="34"/>
      <x:c r="J110" s="34"/>
      <x:c r="K110" s="34"/>
      <x:c r="L110" s="34"/>
      <x:c r="M110" s="3"/>
      <x:c r="N110" s="3"/>
      <x:c r="O110" s="3"/>
      <x:c r="P110" s="3"/>
      <x:c r="Q110" s="3"/>
      <x:c r="R110" s="3"/>
    </x:row>
    <x:row r="111" ht="20" customHeight="1">
      <x:c r="A111" s="40" t="str">
        <x:v>01  Purpose and participants</x:v>
      </x:c>
      <x:c r="B111" s="40"/>
      <x:c r="C111" s="40"/>
      <x:c r="D111" s="17" t="str">
        <x:v>State huddle aim, timing and roles.</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Safety and service check</x:v>
      </x:c>
      <x:c r="B117" s="40"/>
      <x:c r="C117" s="40"/>
      <x:c r="D117" s="17" t="str">
        <x:v>Record immediate concerns first.</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Test and data check</x:v>
      </x:c>
      <x:c r="B123" s="40"/>
      <x:c r="C123" s="40"/>
      <x:c r="D123" s="17" t="str">
        <x:v>Review execution, missing records and deviations.</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Actions and owners</x:v>
      </x:c>
      <x:c r="B129" s="40"/>
      <x:c r="C129" s="40"/>
      <x:c r="D129" s="17" t="str">
        <x:v>Record action, owner, deadline and evidence of closure.</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Escalation and change boundary</x:v>
      </x:c>
      <x:c r="B135" s="40"/>
      <x:c r="C135" s="40"/>
      <x:c r="D135" s="17" t="str">
        <x:v>Separate support actions from changes to the test.</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Close and follow-up</x:v>
      </x:c>
      <x:c r="B141" s="40"/>
      <x:c r="C141" s="40"/>
      <x:c r="D141" s="17" t="str">
        <x:v>Confirm next contact and learning review.</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Do not display individual performance rankings or confidential requests on the board. A huddle should not become a blame meeting or a place to redesign the whole process in ten minutes. Count completed actions only as activity, not as improvement.</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D05, D08, S12  |  METHOD SOURCES: U04, R31</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s>
  <x:dataValidations count="1">
    <x:dataValidation type="list" sqref="F10:F69">
      <x:formula1>"Open,In progress,Blocked,Complete,Cancelled"</x:formula1>
    </x:dataValidation>
  </x:dataValidations>
  <x:pageMargins left="0.7" right="0.7" top="0.75" bottom="0.75" header="0.3" footer="0.3"/>
</x:worksheet>
</file>

<file path=xl/worksheets/sheet27.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6" hidden="0" customWidth="1"/>
    <x:col min="2" max="2" width="9" hidden="0" customWidth="1"/>
    <x:col min="3" max="3" width="9" hidden="0" customWidth="1"/>
    <x:col min="4" max="4" width="9" hidden="0" customWidth="1"/>
    <x:col min="5" max="5" width="9" hidden="0" customWidth="1"/>
    <x:col min="6" max="6" width="9" hidden="0" customWidth="1"/>
    <x:col min="7" max="7" width="9" hidden="0" customWidth="1"/>
    <x:col min="8" max="8" width="17" hidden="0" customWidth="1"/>
    <x:col min="9" max="9" width="30" hidden="0" customWidth="1"/>
    <x:col min="10" max="10" width="11" hidden="0" customWidth="1"/>
    <x:col min="11" max="11" width="13" hidden="0" customWidth="1"/>
    <x:col min="12" max="12" width="13" hidden="0" customWidth="1"/>
    <x:col min="13" max="13" width="13" hidden="0" customWidth="1"/>
    <x:col min="14" max="14" width="13" hidden="0" customWidth="1"/>
    <x:col min="15" max="15" width="13" hidden="0" customWidth="1"/>
    <x:col min="16" max="16" width="13" hidden="0" customWidth="1"/>
    <x:col min="17" max="17" width="11" hidden="0" customWidth="1"/>
    <x:col min="18" max="18" width="11" hidden="0" customWidth="1"/>
  </x:cols>
  <x:sheetData>
    <x:row r="1" ht="26" customHeight="1">
      <x:c r="A1" s="9" t="str">
        <x:v>D07  User and staff feedback instrument</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Check usability, effort and unintended consequences alongside the process data.</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D07</x:v>
      </x:c>
      <x:c r="B9" s="34"/>
      <x:c r="C9" s="34"/>
      <x:c r="D9" s="34"/>
      <x:c r="E9" s="34"/>
      <x:c r="F9" s="34"/>
      <x:c r="G9" s="34"/>
      <x:c r="H9" s="34"/>
      <x:c r="I9" s="34"/>
      <x:c r="J9" s="34"/>
      <x:c r="K9" s="34"/>
      <x:c r="L9" s="34"/>
      <x:c r="M9" s="3"/>
      <x:c r="N9" s="3"/>
      <x:c r="O9" s="3"/>
      <x:c r="P9" s="3"/>
      <x:c r="Q9" s="3"/>
      <x:c r="R9" s="3"/>
    </x:row>
    <x:row r="10" ht="20" customHeight="1">
      <x:c r="A10" s="40" t="str">
        <x:v>01  Administration</x:v>
      </x:c>
      <x:c r="B10" s="40"/>
      <x:c r="C10" s="40"/>
      <x:c r="D10" s="17" t="str">
        <x:v>Specify population, timing and invitation.</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Response options</x:v>
      </x:c>
      <x:c r="B16" s="40"/>
      <x:c r="C16" s="40"/>
      <x:c r="D16" s="17" t="str">
        <x:v>Define coding and non-scored responses.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User items</x:v>
      </x:c>
      <x:c r="B22" s="40"/>
      <x:c r="C22" s="40"/>
      <x:c r="D22" s="17" t="str">
        <x:v>Record clarity, effort, status, outcome, access and trust.</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Staff items</x:v>
      </x:c>
      <x:c r="B28" s="40"/>
      <x:c r="C28" s="40"/>
      <x:c r="D28" s="17" t="str">
        <x:v>Record usability, handover, workload, support, controls and voice.</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Analysis and boundaries</x:v>
      </x:c>
      <x:c r="B34" s="40"/>
      <x:c r="C34" s="40"/>
      <x:c r="D34" s="17" t="str">
        <x:v>State item-level outputs and privacy limits.</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Action and return</x:v>
      </x:c>
      <x:c r="B40" s="40"/>
      <x:c r="C40" s="40"/>
      <x:c r="D40" s="17" t="str">
        <x:v>Record themes, owner and feedback to participants.</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Do not calculate a total engagement, satisfaction or maturity score. The items are not a validated scale. Do not compare small sites or identifiable groups. Mixed-order versions change presentation only; use stable item IDs and keep administration consistent within a comparison.</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S09, S10, S12  |  METHOD SOURCES: U01, R03</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122" t="str">
        <x:v>LIVE FEEDBACK COLLECTION | Use anonymous response IDs. Keep the two populations separate.</x:v>
      </x:c>
      <x:c r="B53" s="122"/>
      <x:c r="C53" s="122"/>
      <x:c r="D53" s="122"/>
      <x:c r="E53" s="122"/>
      <x:c r="F53" s="122"/>
      <x:c r="G53" s="122"/>
      <x:c r="H53" s="122"/>
      <x:c r="I53" s="122"/>
      <x:c r="J53" s="122"/>
      <x:c r="K53" s="122"/>
      <x:c r="L53" s="122"/>
      <x:c r="M53" s="66"/>
      <x:c r="N53" s="66"/>
      <x:c r="O53" s="66"/>
      <x:c r="P53" s="66"/>
      <x:c r="Q53" s="3"/>
      <x:c r="R53" s="3"/>
    </x:row>
    <x:row r="54" ht="20" customHeight="1">
      <x:c r="A54" s="122"/>
      <x:c r="B54" s="122"/>
      <x:c r="C54" s="122"/>
      <x:c r="D54" s="122"/>
      <x:c r="E54" s="122"/>
      <x:c r="F54" s="122"/>
      <x:c r="G54" s="122"/>
      <x:c r="H54" s="122"/>
      <x:c r="I54" s="122"/>
      <x:c r="J54" s="122"/>
      <x:c r="K54" s="122"/>
      <x:c r="L54" s="122"/>
      <x:c r="M54" s="66"/>
      <x:c r="N54" s="66"/>
      <x:c r="O54" s="66"/>
      <x:c r="P54" s="66"/>
      <x:c r="Q54" s="3"/>
      <x:c r="R54" s="3"/>
    </x:row>
    <x:row r="55" ht="20" customHeight="1">
      <x:c r="A55" s="66"/>
      <x:c r="B55" s="66"/>
      <x:c r="C55" s="66"/>
      <x:c r="D55" s="66"/>
      <x:c r="E55" s="66"/>
      <x:c r="F55" s="66"/>
      <x:c r="G55" s="66"/>
      <x:c r="H55" s="66"/>
      <x:c r="I55" s="66"/>
      <x:c r="J55" s="66"/>
      <x:c r="K55" s="66"/>
      <x:c r="L55" s="66"/>
      <x:c r="M55" s="66"/>
      <x:c r="N55" s="66"/>
      <x:c r="O55" s="66"/>
      <x:c r="P55" s="66"/>
      <x:c r="Q55" s="3"/>
      <x:c r="R55" s="3"/>
    </x:row>
    <x:row r="56" ht="38" customHeight="1">
      <x:c r="A56" s="77" t="str">
        <x:v>Response ID</x:v>
      </x:c>
      <x:c r="B56" s="77" t="str">
        <x:v>U1</x:v>
      </x:c>
      <x:c r="C56" s="77" t="str">
        <x:v>U2</x:v>
      </x:c>
      <x:c r="D56" s="77" t="str">
        <x:v>U3</x:v>
      </x:c>
      <x:c r="E56" s="77" t="str">
        <x:v>U4</x:v>
      </x:c>
      <x:c r="F56" s="77" t="str">
        <x:v>U5</x:v>
      </x:c>
      <x:c r="G56" s="77" t="str">
        <x:v>U6</x:v>
      </x:c>
      <x:c r="H56" s="77" t="str">
        <x:v>Collection date</x:v>
      </x:c>
      <x:c r="I56" s="77" t="str">
        <x:v>Sample/context</x:v>
      </x:c>
      <x:c r="J56" s="66"/>
      <x:c r="K56" s="126" t="str">
        <x:v>USER | ITEM SUMMARY</x:v>
      </x:c>
      <x:c r="L56" s="126"/>
      <x:c r="M56" s="126"/>
      <x:c r="N56" s="126"/>
      <x:c r="O56" s="126"/>
      <x:c r="P56" s="126"/>
      <x:c r="Q56" s="3"/>
      <x:c r="R56" s="3"/>
    </x:row>
    <x:row r="57" ht="34" customHeight="1">
      <x:c r="A57" s="46"/>
      <x:c r="B57" s="46"/>
      <x:c r="C57" s="46"/>
      <x:c r="D57" s="46"/>
      <x:c r="E57" s="46"/>
      <x:c r="F57" s="46"/>
      <x:c r="G57" s="46"/>
      <x:c r="H57" s="88"/>
      <x:c r="I57" s="46"/>
      <x:c r="J57" s="66"/>
      <x:c r="K57" s="129" t="str">
        <x:v>Item</x:v>
      </x:c>
      <x:c r="L57" s="129" t="str">
        <x:v>Valid 1-5</x:v>
      </x:c>
      <x:c r="M57" s="129" t="str">
        <x:v>Favourable 4-5</x:v>
      </x:c>
      <x:c r="N57" s="129" t="str">
        <x:v>Favourable %</x:v>
      </x:c>
      <x:c r="O57" s="129" t="str">
        <x:v>N/A</x:v>
      </x:c>
      <x:c r="P57" s="129" t="str">
        <x:v>Invalid</x:v>
      </x:c>
      <x:c r="Q57" s="3"/>
      <x:c r="R57" s="3"/>
    </x:row>
    <x:row r="58" ht="34" customHeight="1">
      <x:c r="A58" s="46"/>
      <x:c r="B58" s="46"/>
      <x:c r="C58" s="46"/>
      <x:c r="D58" s="46"/>
      <x:c r="E58" s="46"/>
      <x:c r="F58" s="46"/>
      <x:c r="G58" s="46"/>
      <x:c r="H58" s="88"/>
      <x:c r="I58" s="46"/>
      <x:c r="J58" s="66"/>
      <x:c r="K58" s="66" t="str">
        <x:v>U1</x:v>
      </x:c>
      <x:c r="L58" s="66" t="n">
        <x:f>COUNTIF($B$57:$B$86,1)+COUNTIF($B$57:$B$86,2)+COUNTIF($B$57:$B$86,3)+COUNTIF($B$57:$B$86,4)+COUNTIF($B$57:$B$86,5)</x:f>
        <x:v>0</x:v>
      </x:c>
      <x:c r="M58" s="66" t="n">
        <x:f>COUNTIF($B$57:$B$86,4)+COUNTIF($B$57:$B$86,5)</x:f>
        <x:v>0</x:v>
      </x:c>
      <x:c r="N58" s="140" t="str">
        <x:f>IF(L58=0,"",M58/L58)</x:f>
      </x:c>
      <x:c r="O58" s="66" t="n">
        <x:f>COUNTIF($B$57:$B$86,"N/A")</x:f>
        <x:v>0</x:v>
      </x:c>
      <x:c r="P58" s="66" t="n">
        <x:f>COUNTA($B$57:$B$86)-L58-O58</x:f>
        <x:v>0</x:v>
      </x:c>
      <x:c r="Q58" s="3"/>
      <x:c r="R58" s="3"/>
    </x:row>
    <x:row r="59" ht="34" customHeight="1">
      <x:c r="A59" s="46"/>
      <x:c r="B59" s="46"/>
      <x:c r="C59" s="46"/>
      <x:c r="D59" s="46"/>
      <x:c r="E59" s="46"/>
      <x:c r="F59" s="46"/>
      <x:c r="G59" s="46"/>
      <x:c r="H59" s="88"/>
      <x:c r="I59" s="46"/>
      <x:c r="J59" s="66"/>
      <x:c r="K59" s="66" t="str">
        <x:v>U2</x:v>
      </x:c>
      <x:c r="L59" s="66" t="n">
        <x:f>COUNTIF($C$57:$C$86,1)+COUNTIF($C$57:$C$86,2)+COUNTIF($C$57:$C$86,3)+COUNTIF($C$57:$C$86,4)+COUNTIF($C$57:$C$86,5)</x:f>
        <x:v>0</x:v>
      </x:c>
      <x:c r="M59" s="66" t="n">
        <x:f>COUNTIF($C$57:$C$86,4)+COUNTIF($C$57:$C$86,5)</x:f>
        <x:v>0</x:v>
      </x:c>
      <x:c r="N59" s="140" t="str">
        <x:f>IF(L59=0,"",M59/L59)</x:f>
      </x:c>
      <x:c r="O59" s="66" t="n">
        <x:f>COUNTIF($C$57:$C$86,"N/A")</x:f>
        <x:v>0</x:v>
      </x:c>
      <x:c r="P59" s="66" t="n">
        <x:f>COUNTA($C$57:$C$86)-L59-O59</x:f>
        <x:v>0</x:v>
      </x:c>
      <x:c r="Q59" s="3"/>
      <x:c r="R59" s="3"/>
    </x:row>
    <x:row r="60" ht="34" customHeight="1">
      <x:c r="A60" s="46"/>
      <x:c r="B60" s="46"/>
      <x:c r="C60" s="46"/>
      <x:c r="D60" s="46"/>
      <x:c r="E60" s="46"/>
      <x:c r="F60" s="46"/>
      <x:c r="G60" s="46"/>
      <x:c r="H60" s="88"/>
      <x:c r="I60" s="46"/>
      <x:c r="J60" s="66"/>
      <x:c r="K60" s="66" t="str">
        <x:v>U3</x:v>
      </x:c>
      <x:c r="L60" s="66" t="n">
        <x:f>COUNTIF($D$57:$D$86,1)+COUNTIF($D$57:$D$86,2)+COUNTIF($D$57:$D$86,3)+COUNTIF($D$57:$D$86,4)+COUNTIF($D$57:$D$86,5)</x:f>
        <x:v>0</x:v>
      </x:c>
      <x:c r="M60" s="66" t="n">
        <x:f>COUNTIF($D$57:$D$86,4)+COUNTIF($D$57:$D$86,5)</x:f>
        <x:v>0</x:v>
      </x:c>
      <x:c r="N60" s="140" t="str">
        <x:f>IF(L60=0,"",M60/L60)</x:f>
      </x:c>
      <x:c r="O60" s="66" t="n">
        <x:f>COUNTIF($D$57:$D$86,"N/A")</x:f>
        <x:v>0</x:v>
      </x:c>
      <x:c r="P60" s="66" t="n">
        <x:f>COUNTA($D$57:$D$86)-L60-O60</x:f>
        <x:v>0</x:v>
      </x:c>
      <x:c r="Q60" s="3"/>
      <x:c r="R60" s="3"/>
    </x:row>
    <x:row r="61" ht="34" customHeight="1">
      <x:c r="A61" s="46"/>
      <x:c r="B61" s="46"/>
      <x:c r="C61" s="46"/>
      <x:c r="D61" s="46"/>
      <x:c r="E61" s="46"/>
      <x:c r="F61" s="46"/>
      <x:c r="G61" s="46"/>
      <x:c r="H61" s="88"/>
      <x:c r="I61" s="46"/>
      <x:c r="J61" s="66"/>
      <x:c r="K61" s="66" t="str">
        <x:v>U4</x:v>
      </x:c>
      <x:c r="L61" s="66" t="n">
        <x:f>COUNTIF($E$57:$E$86,1)+COUNTIF($E$57:$E$86,2)+COUNTIF($E$57:$E$86,3)+COUNTIF($E$57:$E$86,4)+COUNTIF($E$57:$E$86,5)</x:f>
        <x:v>0</x:v>
      </x:c>
      <x:c r="M61" s="66" t="n">
        <x:f>COUNTIF($E$57:$E$86,4)+COUNTIF($E$57:$E$86,5)</x:f>
        <x:v>0</x:v>
      </x:c>
      <x:c r="N61" s="140" t="str">
        <x:f>IF(L61=0,"",M61/L61)</x:f>
      </x:c>
      <x:c r="O61" s="66" t="n">
        <x:f>COUNTIF($E$57:$E$86,"N/A")</x:f>
        <x:v>0</x:v>
      </x:c>
      <x:c r="P61" s="66" t="n">
        <x:f>COUNTA($E$57:$E$86)-L61-O61</x:f>
        <x:v>0</x:v>
      </x:c>
      <x:c r="Q61" s="3"/>
      <x:c r="R61" s="3"/>
    </x:row>
    <x:row r="62" ht="34" customHeight="1">
      <x:c r="A62" s="46"/>
      <x:c r="B62" s="46"/>
      <x:c r="C62" s="46"/>
      <x:c r="D62" s="46"/>
      <x:c r="E62" s="46"/>
      <x:c r="F62" s="46"/>
      <x:c r="G62" s="46"/>
      <x:c r="H62" s="88"/>
      <x:c r="I62" s="46"/>
      <x:c r="J62" s="66"/>
      <x:c r="K62" s="66" t="str">
        <x:v>U5</x:v>
      </x:c>
      <x:c r="L62" s="66" t="n">
        <x:f>COUNTIF($F$57:$F$86,1)+COUNTIF($F$57:$F$86,2)+COUNTIF($F$57:$F$86,3)+COUNTIF($F$57:$F$86,4)+COUNTIF($F$57:$F$86,5)</x:f>
        <x:v>0</x:v>
      </x:c>
      <x:c r="M62" s="66" t="n">
        <x:f>COUNTIF($F$57:$F$86,4)+COUNTIF($F$57:$F$86,5)</x:f>
        <x:v>0</x:v>
      </x:c>
      <x:c r="N62" s="140" t="str">
        <x:f>IF(L62=0,"",M62/L62)</x:f>
      </x:c>
      <x:c r="O62" s="66" t="n">
        <x:f>COUNTIF($F$57:$F$86,"N/A")</x:f>
        <x:v>0</x:v>
      </x:c>
      <x:c r="P62" s="66" t="n">
        <x:f>COUNTA($F$57:$F$86)-L62-O62</x:f>
        <x:v>0</x:v>
      </x:c>
      <x:c r="Q62" s="3"/>
      <x:c r="R62" s="3"/>
    </x:row>
    <x:row r="63" ht="34" customHeight="1">
      <x:c r="A63" s="46"/>
      <x:c r="B63" s="46"/>
      <x:c r="C63" s="46"/>
      <x:c r="D63" s="46"/>
      <x:c r="E63" s="46"/>
      <x:c r="F63" s="46"/>
      <x:c r="G63" s="46"/>
      <x:c r="H63" s="88"/>
      <x:c r="I63" s="46"/>
      <x:c r="J63" s="66"/>
      <x:c r="K63" s="66" t="str">
        <x:v>U6</x:v>
      </x:c>
      <x:c r="L63" s="66" t="n">
        <x:f>COUNTIF($G$57:$G$86,1)+COUNTIF($G$57:$G$86,2)+COUNTIF($G$57:$G$86,3)+COUNTIF($G$57:$G$86,4)+COUNTIF($G$57:$G$86,5)</x:f>
        <x:v>0</x:v>
      </x:c>
      <x:c r="M63" s="66" t="n">
        <x:f>COUNTIF($G$57:$G$86,4)+COUNTIF($G$57:$G$86,5)</x:f>
        <x:v>0</x:v>
      </x:c>
      <x:c r="N63" s="140" t="str">
        <x:f>IF(L63=0,"",M63/L63)</x:f>
      </x:c>
      <x:c r="O63" s="66" t="n">
        <x:f>COUNTIF($G$57:$G$86,"N/A")</x:f>
        <x:v>0</x:v>
      </x:c>
      <x:c r="P63" s="66" t="n">
        <x:f>COUNTA($G$57:$G$86)-L63-O63</x:f>
        <x:v>0</x:v>
      </x:c>
      <x:c r="Q63" s="3"/>
      <x:c r="R63" s="3"/>
    </x:row>
    <x:row r="64" ht="34" customHeight="1">
      <x:c r="A64" s="46"/>
      <x:c r="B64" s="46"/>
      <x:c r="C64" s="46"/>
      <x:c r="D64" s="46"/>
      <x:c r="E64" s="46"/>
      <x:c r="F64" s="46"/>
      <x:c r="G64" s="46"/>
      <x:c r="H64" s="88"/>
      <x:c r="I64" s="46"/>
      <x:c r="J64" s="66"/>
      <x:c r="K64" s="66"/>
      <x:c r="L64" s="66"/>
      <x:c r="M64" s="66"/>
      <x:c r="N64" s="66"/>
      <x:c r="O64" s="66"/>
      <x:c r="P64" s="66"/>
      <x:c r="Q64" s="3"/>
      <x:c r="R64" s="3"/>
    </x:row>
    <x:row r="65" ht="34" customHeight="1">
      <x:c r="A65" s="46"/>
      <x:c r="B65" s="46"/>
      <x:c r="C65" s="46"/>
      <x:c r="D65" s="46"/>
      <x:c r="E65" s="46"/>
      <x:c r="F65" s="46"/>
      <x:c r="G65" s="46"/>
      <x:c r="H65" s="88"/>
      <x:c r="I65" s="46"/>
      <x:c r="J65" s="66"/>
      <x:c r="K65" s="66"/>
      <x:c r="L65" s="66"/>
      <x:c r="M65" s="66"/>
      <x:c r="N65" s="66"/>
      <x:c r="O65" s="66"/>
      <x:c r="P65" s="66"/>
      <x:c r="Q65" s="3"/>
      <x:c r="R65" s="3"/>
    </x:row>
    <x:row r="66" ht="21" customHeight="1">
      <x:c r="A66" s="46"/>
      <x:c r="B66" s="46"/>
      <x:c r="C66" s="46"/>
      <x:c r="D66" s="46"/>
      <x:c r="E66" s="46"/>
      <x:c r="F66" s="46"/>
      <x:c r="G66" s="46"/>
      <x:c r="H66" s="88"/>
      <x:c r="I66" s="46"/>
      <x:c r="J66" s="66"/>
      <x:c r="K66" s="136" t="str">
        <x:v>U1 | The instructions made clear what information I needed to provide.</x:v>
      </x:c>
      <x:c r="L66" s="136"/>
      <x:c r="M66" s="136"/>
      <x:c r="N66" s="136"/>
      <x:c r="O66" s="136"/>
      <x:c r="P66" s="136"/>
      <x:c r="Q66" s="3"/>
      <x:c r="R66" s="3"/>
    </x:row>
    <x:row r="67" ht="21" customHeight="1">
      <x:c r="A67" s="46"/>
      <x:c r="B67" s="46"/>
      <x:c r="C67" s="46"/>
      <x:c r="D67" s="46"/>
      <x:c r="E67" s="46"/>
      <x:c r="F67" s="46"/>
      <x:c r="G67" s="46"/>
      <x:c r="H67" s="88"/>
      <x:c r="I67" s="46"/>
      <x:c r="J67" s="66"/>
      <x:c r="K67" s="136"/>
      <x:c r="L67" s="136"/>
      <x:c r="M67" s="136"/>
      <x:c r="N67" s="136"/>
      <x:c r="O67" s="136"/>
      <x:c r="P67" s="136"/>
      <x:c r="Q67" s="3"/>
      <x:c r="R67" s="3"/>
    </x:row>
    <x:row r="68" ht="21" customHeight="1">
      <x:c r="A68" s="46"/>
      <x:c r="B68" s="46"/>
      <x:c r="C68" s="46"/>
      <x:c r="D68" s="46"/>
      <x:c r="E68" s="46"/>
      <x:c r="F68" s="46"/>
      <x:c r="G68" s="46"/>
      <x:c r="H68" s="88"/>
      <x:c r="I68" s="46"/>
      <x:c r="J68" s="66"/>
      <x:c r="K68" s="136" t="str">
        <x:v>U2 | I could complete the request without avoidable repetition.</x:v>
      </x:c>
      <x:c r="L68" s="136"/>
      <x:c r="M68" s="136"/>
      <x:c r="N68" s="136"/>
      <x:c r="O68" s="136"/>
      <x:c r="P68" s="136"/>
      <x:c r="Q68" s="3"/>
      <x:c r="R68" s="3"/>
    </x:row>
    <x:row r="69" ht="21" customHeight="1">
      <x:c r="A69" s="46"/>
      <x:c r="B69" s="46"/>
      <x:c r="C69" s="46"/>
      <x:c r="D69" s="46"/>
      <x:c r="E69" s="46"/>
      <x:c r="F69" s="46"/>
      <x:c r="G69" s="46"/>
      <x:c r="H69" s="88"/>
      <x:c r="I69" s="46"/>
      <x:c r="J69" s="66"/>
      <x:c r="K69" s="136"/>
      <x:c r="L69" s="136"/>
      <x:c r="M69" s="136"/>
      <x:c r="N69" s="136"/>
      <x:c r="O69" s="136"/>
      <x:c r="P69" s="136"/>
      <x:c r="Q69" s="3"/>
      <x:c r="R69" s="3"/>
    </x:row>
    <x:row r="70" ht="21" customHeight="1">
      <x:c r="A70" s="46"/>
      <x:c r="B70" s="46"/>
      <x:c r="C70" s="46"/>
      <x:c r="D70" s="46"/>
      <x:c r="E70" s="46"/>
      <x:c r="F70" s="46"/>
      <x:c r="G70" s="46"/>
      <x:c r="H70" s="88"/>
      <x:c r="I70" s="46"/>
      <x:c r="J70" s="66"/>
      <x:c r="K70" s="136" t="str">
        <x:v>U3 | I understood the status of my request.</x:v>
      </x:c>
      <x:c r="L70" s="136"/>
      <x:c r="M70" s="136"/>
      <x:c r="N70" s="136"/>
      <x:c r="O70" s="136"/>
      <x:c r="P70" s="136"/>
      <x:c r="Q70" s="3"/>
      <x:c r="R70" s="3"/>
    </x:row>
    <x:row r="71" ht="21" customHeight="1">
      <x:c r="A71" s="46"/>
      <x:c r="B71" s="46"/>
      <x:c r="C71" s="46"/>
      <x:c r="D71" s="46"/>
      <x:c r="E71" s="46"/>
      <x:c r="F71" s="46"/>
      <x:c r="G71" s="46"/>
      <x:c r="H71" s="88"/>
      <x:c r="I71" s="46"/>
      <x:c r="J71" s="66"/>
      <x:c r="K71" s="136"/>
      <x:c r="L71" s="136"/>
      <x:c r="M71" s="136"/>
      <x:c r="N71" s="136"/>
      <x:c r="O71" s="136"/>
      <x:c r="P71" s="136"/>
      <x:c r="Q71" s="3"/>
      <x:c r="R71" s="3"/>
    </x:row>
    <x:row r="72" ht="21" customHeight="1">
      <x:c r="A72" s="46"/>
      <x:c r="B72" s="46"/>
      <x:c r="C72" s="46"/>
      <x:c r="D72" s="46"/>
      <x:c r="E72" s="46"/>
      <x:c r="F72" s="46"/>
      <x:c r="G72" s="46"/>
      <x:c r="H72" s="88"/>
      <x:c r="I72" s="46"/>
      <x:c r="J72" s="66"/>
      <x:c r="K72" s="136" t="str">
        <x:v>U4 | The final output met the need for which I requested it.</x:v>
      </x:c>
      <x:c r="L72" s="136"/>
      <x:c r="M72" s="136"/>
      <x:c r="N72" s="136"/>
      <x:c r="O72" s="136"/>
      <x:c r="P72" s="136"/>
      <x:c r="Q72" s="3"/>
      <x:c r="R72" s="3"/>
    </x:row>
    <x:row r="73" ht="21" customHeight="1">
      <x:c r="A73" s="46"/>
      <x:c r="B73" s="46"/>
      <x:c r="C73" s="46"/>
      <x:c r="D73" s="46"/>
      <x:c r="E73" s="46"/>
      <x:c r="F73" s="46"/>
      <x:c r="G73" s="46"/>
      <x:c r="H73" s="88"/>
      <x:c r="I73" s="46"/>
      <x:c r="J73" s="66"/>
      <x:c r="K73" s="136"/>
      <x:c r="L73" s="136"/>
      <x:c r="M73" s="136"/>
      <x:c r="N73" s="136"/>
      <x:c r="O73" s="136"/>
      <x:c r="P73" s="136"/>
      <x:c r="Q73" s="3"/>
      <x:c r="R73" s="3"/>
    </x:row>
    <x:row r="74" ht="21" customHeight="1">
      <x:c r="A74" s="46"/>
      <x:c r="B74" s="46"/>
      <x:c r="C74" s="46"/>
      <x:c r="D74" s="46"/>
      <x:c r="E74" s="46"/>
      <x:c r="F74" s="46"/>
      <x:c r="G74" s="46"/>
      <x:c r="H74" s="88"/>
      <x:c r="I74" s="46"/>
      <x:c r="J74" s="66"/>
      <x:c r="K74" s="136" t="str">
        <x:v>U5 | I could obtain help when I needed it.</x:v>
      </x:c>
      <x:c r="L74" s="136"/>
      <x:c r="M74" s="136"/>
      <x:c r="N74" s="136"/>
      <x:c r="O74" s="136"/>
      <x:c r="P74" s="136"/>
      <x:c r="Q74" s="3"/>
      <x:c r="R74" s="3"/>
    </x:row>
    <x:row r="75" ht="21" customHeight="1">
      <x:c r="A75" s="46"/>
      <x:c r="B75" s="46"/>
      <x:c r="C75" s="46"/>
      <x:c r="D75" s="46"/>
      <x:c r="E75" s="46"/>
      <x:c r="F75" s="46"/>
      <x:c r="G75" s="46"/>
      <x:c r="H75" s="88"/>
      <x:c r="I75" s="46"/>
      <x:c r="J75" s="66"/>
      <x:c r="K75" s="136"/>
      <x:c r="L75" s="136"/>
      <x:c r="M75" s="136"/>
      <x:c r="N75" s="136"/>
      <x:c r="O75" s="136"/>
      <x:c r="P75" s="136"/>
      <x:c r="Q75" s="3"/>
      <x:c r="R75" s="3"/>
    </x:row>
    <x:row r="76" ht="21" customHeight="1">
      <x:c r="A76" s="46"/>
      <x:c r="B76" s="46"/>
      <x:c r="C76" s="46"/>
      <x:c r="D76" s="46"/>
      <x:c r="E76" s="46"/>
      <x:c r="F76" s="46"/>
      <x:c r="G76" s="46"/>
      <x:c r="H76" s="88"/>
      <x:c r="I76" s="46"/>
      <x:c r="J76" s="66"/>
      <x:c r="K76" s="136" t="str">
        <x:v>U6 | The way my information was handled felt appropriate to me.</x:v>
      </x:c>
      <x:c r="L76" s="136"/>
      <x:c r="M76" s="136"/>
      <x:c r="N76" s="136"/>
      <x:c r="O76" s="136"/>
      <x:c r="P76" s="136"/>
      <x:c r="Q76" s="3"/>
      <x:c r="R76" s="3"/>
    </x:row>
    <x:row r="77" ht="21" customHeight="1">
      <x:c r="A77" s="46"/>
      <x:c r="B77" s="46"/>
      <x:c r="C77" s="46"/>
      <x:c r="D77" s="46"/>
      <x:c r="E77" s="46"/>
      <x:c r="F77" s="46"/>
      <x:c r="G77" s="46"/>
      <x:c r="H77" s="88"/>
      <x:c r="I77" s="46"/>
      <x:c r="J77" s="66"/>
      <x:c r="K77" s="136"/>
      <x:c r="L77" s="136"/>
      <x:c r="M77" s="136"/>
      <x:c r="N77" s="136"/>
      <x:c r="O77" s="136"/>
      <x:c r="P77" s="136"/>
      <x:c r="Q77" s="3"/>
      <x:c r="R77" s="3"/>
    </x:row>
    <x:row r="78" ht="34" customHeight="1">
      <x:c r="A78" s="46"/>
      <x:c r="B78" s="46"/>
      <x:c r="C78" s="46"/>
      <x:c r="D78" s="46"/>
      <x:c r="E78" s="46"/>
      <x:c r="F78" s="46"/>
      <x:c r="G78" s="46"/>
      <x:c r="H78" s="88"/>
      <x:c r="I78" s="46"/>
      <x:c r="J78" s="66"/>
      <x:c r="K78" s="66"/>
      <x:c r="L78" s="66"/>
      <x:c r="M78" s="66"/>
      <x:c r="N78" s="66"/>
      <x:c r="O78" s="66"/>
      <x:c r="P78" s="66"/>
      <x:c r="Q78" s="3"/>
      <x:c r="R78" s="3"/>
    </x:row>
    <x:row r="79" ht="34" customHeight="1">
      <x:c r="A79" s="46"/>
      <x:c r="B79" s="46"/>
      <x:c r="C79" s="46"/>
      <x:c r="D79" s="46"/>
      <x:c r="E79" s="46"/>
      <x:c r="F79" s="46"/>
      <x:c r="G79" s="46"/>
      <x:c r="H79" s="88"/>
      <x:c r="I79" s="46"/>
      <x:c r="J79" s="66"/>
      <x:c r="K79" s="66"/>
      <x:c r="L79" s="66"/>
      <x:c r="M79" s="66"/>
      <x:c r="N79" s="66"/>
      <x:c r="O79" s="66"/>
      <x:c r="P79" s="66"/>
      <x:c r="Q79" s="3"/>
      <x:c r="R79" s="3"/>
    </x:row>
    <x:row r="80" ht="34" customHeight="1">
      <x:c r="A80" s="46"/>
      <x:c r="B80" s="46"/>
      <x:c r="C80" s="46"/>
      <x:c r="D80" s="46"/>
      <x:c r="E80" s="46"/>
      <x:c r="F80" s="46"/>
      <x:c r="G80" s="46"/>
      <x:c r="H80" s="88"/>
      <x:c r="I80" s="46"/>
      <x:c r="J80" s="66"/>
      <x:c r="K80" s="136" t="str">
        <x:v>1 Strongly disagree; 2 Disagree; 3 Neither; 4 Agree; 5 Strongly agree; N/A Not applicable. Blank = missing. Report valid n for every item. Do not combine items, user/staff populations, or N/A with neutral. These are original, unvalidated feedback items.</x:v>
      </x:c>
      <x:c r="L80" s="136"/>
      <x:c r="M80" s="136"/>
      <x:c r="N80" s="136"/>
      <x:c r="O80" s="136"/>
      <x:c r="P80" s="136"/>
      <x:c r="Q80" s="3"/>
      <x:c r="R80" s="3"/>
    </x:row>
    <x:row r="81" ht="34" customHeight="1">
      <x:c r="A81" s="46"/>
      <x:c r="B81" s="46"/>
      <x:c r="C81" s="46"/>
      <x:c r="D81" s="46"/>
      <x:c r="E81" s="46"/>
      <x:c r="F81" s="46"/>
      <x:c r="G81" s="46"/>
      <x:c r="H81" s="88"/>
      <x:c r="I81" s="46"/>
      <x:c r="J81" s="66"/>
      <x:c r="K81" s="136"/>
      <x:c r="L81" s="136"/>
      <x:c r="M81" s="136"/>
      <x:c r="N81" s="136"/>
      <x:c r="O81" s="136"/>
      <x:c r="P81" s="136"/>
      <x:c r="Q81" s="3"/>
      <x:c r="R81" s="3"/>
    </x:row>
    <x:row r="82" ht="34" customHeight="1">
      <x:c r="A82" s="46"/>
      <x:c r="B82" s="46"/>
      <x:c r="C82" s="46"/>
      <x:c r="D82" s="46"/>
      <x:c r="E82" s="46"/>
      <x:c r="F82" s="46"/>
      <x:c r="G82" s="46"/>
      <x:c r="H82" s="88"/>
      <x:c r="I82" s="46"/>
      <x:c r="J82" s="66"/>
      <x:c r="K82" s="136"/>
      <x:c r="L82" s="136"/>
      <x:c r="M82" s="136"/>
      <x:c r="N82" s="136"/>
      <x:c r="O82" s="136"/>
      <x:c r="P82" s="136"/>
      <x:c r="Q82" s="3"/>
      <x:c r="R82" s="3"/>
    </x:row>
    <x:row r="83" ht="34" customHeight="1">
      <x:c r="A83" s="46"/>
      <x:c r="B83" s="46"/>
      <x:c r="C83" s="46"/>
      <x:c r="D83" s="46"/>
      <x:c r="E83" s="46"/>
      <x:c r="F83" s="46"/>
      <x:c r="G83" s="46"/>
      <x:c r="H83" s="88"/>
      <x:c r="I83" s="46"/>
      <x:c r="J83" s="66"/>
      <x:c r="K83" s="136"/>
      <x:c r="L83" s="136"/>
      <x:c r="M83" s="136"/>
      <x:c r="N83" s="136"/>
      <x:c r="O83" s="136"/>
      <x:c r="P83" s="136"/>
      <x:c r="Q83" s="3"/>
      <x:c r="R83" s="3"/>
    </x:row>
    <x:row r="84" ht="34" customHeight="1">
      <x:c r="A84" s="46"/>
      <x:c r="B84" s="46"/>
      <x:c r="C84" s="46"/>
      <x:c r="D84" s="46"/>
      <x:c r="E84" s="46"/>
      <x:c r="F84" s="46"/>
      <x:c r="G84" s="46"/>
      <x:c r="H84" s="88"/>
      <x:c r="I84" s="46"/>
      <x:c r="J84" s="66"/>
      <x:c r="K84" s="136"/>
      <x:c r="L84" s="136"/>
      <x:c r="M84" s="136"/>
      <x:c r="N84" s="136"/>
      <x:c r="O84" s="136"/>
      <x:c r="P84" s="136"/>
      <x:c r="Q84" s="3"/>
      <x:c r="R84" s="3"/>
    </x:row>
    <x:row r="85" ht="34" customHeight="1">
      <x:c r="A85" s="46"/>
      <x:c r="B85" s="46"/>
      <x:c r="C85" s="46"/>
      <x:c r="D85" s="46"/>
      <x:c r="E85" s="46"/>
      <x:c r="F85" s="46"/>
      <x:c r="G85" s="46"/>
      <x:c r="H85" s="88"/>
      <x:c r="I85" s="46"/>
      <x:c r="J85" s="66"/>
      <x:c r="K85" s="66"/>
      <x:c r="L85" s="66"/>
      <x:c r="M85" s="66"/>
      <x:c r="N85" s="66"/>
      <x:c r="O85" s="66"/>
      <x:c r="P85" s="66"/>
      <x:c r="Q85" s="3"/>
      <x:c r="R85" s="3"/>
    </x:row>
    <x:row r="86" ht="34" customHeight="1">
      <x:c r="A86" s="46"/>
      <x:c r="B86" s="46"/>
      <x:c r="C86" s="46"/>
      <x:c r="D86" s="46"/>
      <x:c r="E86" s="46"/>
      <x:c r="F86" s="46"/>
      <x:c r="G86" s="46"/>
      <x:c r="H86" s="88"/>
      <x:c r="I86" s="46"/>
      <x:c r="J86" s="66"/>
      <x:c r="K86" s="66"/>
      <x:c r="L86" s="66"/>
      <x:c r="M86" s="66"/>
      <x:c r="N86" s="66"/>
      <x:c r="O86" s="66"/>
      <x:c r="P86" s="66"/>
      <x:c r="Q86" s="3"/>
      <x:c r="R86" s="3"/>
    </x:row>
    <x:row r="87" ht="20" customHeight="1">
      <x:c r="A87" s="66"/>
      <x:c r="B87" s="66"/>
      <x:c r="C87" s="66"/>
      <x:c r="D87" s="66"/>
      <x:c r="E87" s="66"/>
      <x:c r="F87" s="66"/>
      <x:c r="G87" s="66"/>
      <x:c r="H87" s="66"/>
      <x:c r="I87" s="66"/>
      <x:c r="J87" s="66"/>
      <x:c r="K87" s="66"/>
      <x:c r="L87" s="66"/>
      <x:c r="M87" s="66"/>
      <x:c r="N87" s="66"/>
      <x:c r="O87" s="66"/>
      <x:c r="P87" s="66"/>
      <x:c r="Q87" s="3"/>
      <x:c r="R87" s="3"/>
    </x:row>
    <x:row r="88" ht="20" customHeight="1">
      <x:c r="A88" s="66"/>
      <x:c r="B88" s="66"/>
      <x:c r="C88" s="66"/>
      <x:c r="D88" s="66"/>
      <x:c r="E88" s="66"/>
      <x:c r="F88" s="66"/>
      <x:c r="G88" s="66"/>
      <x:c r="H88" s="66"/>
      <x:c r="I88" s="66"/>
      <x:c r="J88" s="66"/>
      <x:c r="K88" s="66"/>
      <x:c r="L88" s="66"/>
      <x:c r="M88" s="66"/>
      <x:c r="N88" s="66"/>
      <x:c r="O88" s="66"/>
      <x:c r="P88" s="66"/>
      <x:c r="Q88" s="3"/>
      <x:c r="R88" s="3"/>
    </x:row>
    <x:row r="89" ht="20" customHeight="1">
      <x:c r="A89" s="66"/>
      <x:c r="B89" s="66"/>
      <x:c r="C89" s="66"/>
      <x:c r="D89" s="66"/>
      <x:c r="E89" s="66"/>
      <x:c r="F89" s="66"/>
      <x:c r="G89" s="66"/>
      <x:c r="H89" s="66"/>
      <x:c r="I89" s="66"/>
      <x:c r="J89" s="66"/>
      <x:c r="K89" s="66"/>
      <x:c r="L89" s="66"/>
      <x:c r="M89" s="66"/>
      <x:c r="N89" s="66"/>
      <x:c r="O89" s="66"/>
      <x:c r="P89" s="66"/>
      <x:c r="Q89" s="3"/>
      <x:c r="R89" s="3"/>
    </x:row>
    <x:row r="90" ht="20" customHeight="1">
      <x:c r="A90" s="66"/>
      <x:c r="B90" s="66"/>
      <x:c r="C90" s="66"/>
      <x:c r="D90" s="66"/>
      <x:c r="E90" s="66"/>
      <x:c r="F90" s="66"/>
      <x:c r="G90" s="66"/>
      <x:c r="H90" s="66"/>
      <x:c r="I90" s="66"/>
      <x:c r="J90" s="66"/>
      <x:c r="K90" s="66"/>
      <x:c r="L90" s="66"/>
      <x:c r="M90" s="66"/>
      <x:c r="N90" s="66"/>
      <x:c r="O90" s="66"/>
      <x:c r="P90" s="66"/>
      <x:c r="Q90" s="3"/>
      <x:c r="R90" s="3"/>
    </x:row>
    <x:row r="91" ht="20" customHeight="1">
      <x:c r="A91" s="66"/>
      <x:c r="B91" s="66"/>
      <x:c r="C91" s="66"/>
      <x:c r="D91" s="66"/>
      <x:c r="E91" s="66"/>
      <x:c r="F91" s="66"/>
      <x:c r="G91" s="66"/>
      <x:c r="H91" s="66"/>
      <x:c r="I91" s="66"/>
      <x:c r="J91" s="66"/>
      <x:c r="K91" s="66"/>
      <x:c r="L91" s="66"/>
      <x:c r="M91" s="66"/>
      <x:c r="N91" s="66"/>
      <x:c r="O91" s="66"/>
      <x:c r="P91" s="66"/>
      <x:c r="Q91" s="3"/>
      <x:c r="R91" s="3"/>
    </x:row>
    <x:row r="92" ht="20" customHeight="1">
      <x:c r="A92" s="66"/>
      <x:c r="B92" s="66"/>
      <x:c r="C92" s="66"/>
      <x:c r="D92" s="66"/>
      <x:c r="E92" s="66"/>
      <x:c r="F92" s="66"/>
      <x:c r="G92" s="66"/>
      <x:c r="H92" s="66"/>
      <x:c r="I92" s="66"/>
      <x:c r="J92" s="66"/>
      <x:c r="K92" s="66"/>
      <x:c r="L92" s="66"/>
      <x:c r="M92" s="66"/>
      <x:c r="N92" s="66"/>
      <x:c r="O92" s="66"/>
      <x:c r="P92" s="66"/>
      <x:c r="Q92" s="3"/>
      <x:c r="R92" s="3"/>
    </x:row>
    <x:row r="93" ht="20" customHeight="1">
      <x:c r="A93" s="66"/>
      <x:c r="B93" s="66"/>
      <x:c r="C93" s="66"/>
      <x:c r="D93" s="66"/>
      <x:c r="E93" s="66"/>
      <x:c r="F93" s="66"/>
      <x:c r="G93" s="66"/>
      <x:c r="H93" s="66"/>
      <x:c r="I93" s="66"/>
      <x:c r="J93" s="66"/>
      <x:c r="K93" s="66"/>
      <x:c r="L93" s="66"/>
      <x:c r="M93" s="66"/>
      <x:c r="N93" s="66"/>
      <x:c r="O93" s="66"/>
      <x:c r="P93" s="66"/>
      <x:c r="Q93" s="3"/>
      <x:c r="R93" s="3"/>
    </x:row>
    <x:row r="94" ht="20" customHeight="1">
      <x:c r="A94" s="66"/>
      <x:c r="B94" s="66"/>
      <x:c r="C94" s="66"/>
      <x:c r="D94" s="66"/>
      <x:c r="E94" s="66"/>
      <x:c r="F94" s="66"/>
      <x:c r="G94" s="66"/>
      <x:c r="H94" s="66"/>
      <x:c r="I94" s="66"/>
      <x:c r="J94" s="66"/>
      <x:c r="K94" s="66"/>
      <x:c r="L94" s="66"/>
      <x:c r="M94" s="66"/>
      <x:c r="N94" s="66"/>
      <x:c r="O94" s="66"/>
      <x:c r="P94" s="66"/>
      <x:c r="Q94" s="3"/>
      <x:c r="R94" s="3"/>
    </x:row>
    <x:row r="95" ht="20" customHeight="1">
      <x:c r="A95" s="66"/>
      <x:c r="B95" s="66"/>
      <x:c r="C95" s="66"/>
      <x:c r="D95" s="66"/>
      <x:c r="E95" s="66"/>
      <x:c r="F95" s="66"/>
      <x:c r="G95" s="66"/>
      <x:c r="H95" s="66"/>
      <x:c r="I95" s="66"/>
      <x:c r="J95" s="66"/>
      <x:c r="K95" s="66"/>
      <x:c r="L95" s="66"/>
      <x:c r="M95" s="66"/>
      <x:c r="N95" s="66"/>
      <x:c r="O95" s="66"/>
      <x:c r="P95" s="66"/>
      <x:c r="Q95" s="3"/>
      <x:c r="R95" s="3"/>
    </x:row>
    <x:row r="96" ht="20" customHeight="1">
      <x:c r="A96" s="66"/>
      <x:c r="B96" s="66"/>
      <x:c r="C96" s="66"/>
      <x:c r="D96" s="66"/>
      <x:c r="E96" s="66"/>
      <x:c r="F96" s="66"/>
      <x:c r="G96" s="66"/>
      <x:c r="H96" s="66"/>
      <x:c r="I96" s="66"/>
      <x:c r="J96" s="66"/>
      <x:c r="K96" s="66"/>
      <x:c r="L96" s="66"/>
      <x:c r="M96" s="66"/>
      <x:c r="N96" s="66"/>
      <x:c r="O96" s="66"/>
      <x:c r="P96" s="66"/>
      <x:c r="Q96" s="3"/>
      <x:c r="R96" s="3"/>
    </x:row>
    <x:row r="97" ht="20" customHeight="1">
      <x:c r="A97" s="66"/>
      <x:c r="B97" s="66"/>
      <x:c r="C97" s="66"/>
      <x:c r="D97" s="66"/>
      <x:c r="E97" s="66"/>
      <x:c r="F97" s="66"/>
      <x:c r="G97" s="66"/>
      <x:c r="H97" s="66"/>
      <x:c r="I97" s="66"/>
      <x:c r="J97" s="66"/>
      <x:c r="K97" s="66"/>
      <x:c r="L97" s="66"/>
      <x:c r="M97" s="66"/>
      <x:c r="N97" s="66"/>
      <x:c r="O97" s="66"/>
      <x:c r="P97" s="66"/>
      <x:c r="Q97" s="3"/>
      <x:c r="R97" s="3"/>
    </x:row>
    <x:row r="98" ht="38" customHeight="1">
      <x:c r="A98" s="77" t="str">
        <x:v>Response ID</x:v>
      </x:c>
      <x:c r="B98" s="77" t="str">
        <x:v>T1</x:v>
      </x:c>
      <x:c r="C98" s="77" t="str">
        <x:v>T2</x:v>
      </x:c>
      <x:c r="D98" s="77" t="str">
        <x:v>T3</x:v>
      </x:c>
      <x:c r="E98" s="77" t="str">
        <x:v>T4</x:v>
      </x:c>
      <x:c r="F98" s="77" t="str">
        <x:v>T5</x:v>
      </x:c>
      <x:c r="G98" s="77" t="str">
        <x:v>T6</x:v>
      </x:c>
      <x:c r="H98" s="77" t="str">
        <x:v>Collection date</x:v>
      </x:c>
      <x:c r="I98" s="77" t="str">
        <x:v>Sample/context</x:v>
      </x:c>
      <x:c r="J98" s="66"/>
      <x:c r="K98" s="126" t="str">
        <x:v>STAFF | ITEM SUMMARY</x:v>
      </x:c>
      <x:c r="L98" s="126"/>
      <x:c r="M98" s="126"/>
      <x:c r="N98" s="126"/>
      <x:c r="O98" s="126"/>
      <x:c r="P98" s="126"/>
      <x:c r="Q98" s="3"/>
      <x:c r="R98" s="3"/>
    </x:row>
    <x:row r="99" ht="34" customHeight="1">
      <x:c r="A99" s="46"/>
      <x:c r="B99" s="46"/>
      <x:c r="C99" s="46"/>
      <x:c r="D99" s="46"/>
      <x:c r="E99" s="46"/>
      <x:c r="F99" s="46"/>
      <x:c r="G99" s="46"/>
      <x:c r="H99" s="88"/>
      <x:c r="I99" s="46"/>
      <x:c r="J99" s="66"/>
      <x:c r="K99" s="129" t="str">
        <x:v>Item</x:v>
      </x:c>
      <x:c r="L99" s="129" t="str">
        <x:v>Valid 1-5</x:v>
      </x:c>
      <x:c r="M99" s="129" t="str">
        <x:v>Favourable 4-5</x:v>
      </x:c>
      <x:c r="N99" s="129" t="str">
        <x:v>Favourable %</x:v>
      </x:c>
      <x:c r="O99" s="129" t="str">
        <x:v>N/A</x:v>
      </x:c>
      <x:c r="P99" s="129" t="str">
        <x:v>Invalid</x:v>
      </x:c>
      <x:c r="Q99" s="3"/>
      <x:c r="R99" s="3"/>
    </x:row>
    <x:row r="100" ht="34" customHeight="1">
      <x:c r="A100" s="46"/>
      <x:c r="B100" s="46"/>
      <x:c r="C100" s="46"/>
      <x:c r="D100" s="46"/>
      <x:c r="E100" s="46"/>
      <x:c r="F100" s="46"/>
      <x:c r="G100" s="46"/>
      <x:c r="H100" s="88"/>
      <x:c r="I100" s="46"/>
      <x:c r="J100" s="66"/>
      <x:c r="K100" s="66" t="str">
        <x:v>T1</x:v>
      </x:c>
      <x:c r="L100" s="66" t="n">
        <x:f>COUNTIF($B$99:$B$128,1)+COUNTIF($B$99:$B$128,2)+COUNTIF($B$99:$B$128,3)+COUNTIF($B$99:$B$128,4)+COUNTIF($B$99:$B$128,5)</x:f>
        <x:v>0</x:v>
      </x:c>
      <x:c r="M100" s="66" t="n">
        <x:f>COUNTIF($B$99:$B$128,4)+COUNTIF($B$99:$B$128,5)</x:f>
        <x:v>0</x:v>
      </x:c>
      <x:c r="N100" s="140" t="str">
        <x:f>IF(L100=0,"",M100/L100)</x:f>
      </x:c>
      <x:c r="O100" s="66" t="n">
        <x:f>COUNTIF($B$99:$B$128,"N/A")</x:f>
        <x:v>0</x:v>
      </x:c>
      <x:c r="P100" s="66" t="n">
        <x:f>COUNTA($B$99:$B$128)-L100-O100</x:f>
        <x:v>0</x:v>
      </x:c>
      <x:c r="Q100" s="3"/>
      <x:c r="R100" s="3"/>
    </x:row>
    <x:row r="101" ht="34" customHeight="1">
      <x:c r="A101" s="46"/>
      <x:c r="B101" s="46"/>
      <x:c r="C101" s="46"/>
      <x:c r="D101" s="46"/>
      <x:c r="E101" s="46"/>
      <x:c r="F101" s="46"/>
      <x:c r="G101" s="46"/>
      <x:c r="H101" s="88"/>
      <x:c r="I101" s="46"/>
      <x:c r="J101" s="66"/>
      <x:c r="K101" s="66" t="str">
        <x:v>T2</x:v>
      </x:c>
      <x:c r="L101" s="66" t="n">
        <x:f>COUNTIF($C$99:$C$128,1)+COUNTIF($C$99:$C$128,2)+COUNTIF($C$99:$C$128,3)+COUNTIF($C$99:$C$128,4)+COUNTIF($C$99:$C$128,5)</x:f>
        <x:v>0</x:v>
      </x:c>
      <x:c r="M101" s="66" t="n">
        <x:f>COUNTIF($C$99:$C$128,4)+COUNTIF($C$99:$C$128,5)</x:f>
        <x:v>0</x:v>
      </x:c>
      <x:c r="N101" s="140" t="str">
        <x:f>IF(L101=0,"",M101/L101)</x:f>
      </x:c>
      <x:c r="O101" s="66" t="n">
        <x:f>COUNTIF($C$99:$C$128,"N/A")</x:f>
        <x:v>0</x:v>
      </x:c>
      <x:c r="P101" s="66" t="n">
        <x:f>COUNTA($C$99:$C$128)-L101-O101</x:f>
        <x:v>0</x:v>
      </x:c>
      <x:c r="Q101" s="3"/>
      <x:c r="R101" s="3"/>
    </x:row>
    <x:row r="102" ht="34" customHeight="1">
      <x:c r="A102" s="46"/>
      <x:c r="B102" s="46"/>
      <x:c r="C102" s="46"/>
      <x:c r="D102" s="46"/>
      <x:c r="E102" s="46"/>
      <x:c r="F102" s="46"/>
      <x:c r="G102" s="46"/>
      <x:c r="H102" s="88"/>
      <x:c r="I102" s="46"/>
      <x:c r="J102" s="66"/>
      <x:c r="K102" s="66" t="str">
        <x:v>T3</x:v>
      </x:c>
      <x:c r="L102" s="66" t="n">
        <x:f>COUNTIF($D$99:$D$128,1)+COUNTIF($D$99:$D$128,2)+COUNTIF($D$99:$D$128,3)+COUNTIF($D$99:$D$128,4)+COUNTIF($D$99:$D$128,5)</x:f>
        <x:v>0</x:v>
      </x:c>
      <x:c r="M102" s="66" t="n">
        <x:f>COUNTIF($D$99:$D$128,4)+COUNTIF($D$99:$D$128,5)</x:f>
        <x:v>0</x:v>
      </x:c>
      <x:c r="N102" s="140" t="str">
        <x:f>IF(L102=0,"",M102/L102)</x:f>
      </x:c>
      <x:c r="O102" s="66" t="n">
        <x:f>COUNTIF($D$99:$D$128,"N/A")</x:f>
        <x:v>0</x:v>
      </x:c>
      <x:c r="P102" s="66" t="n">
        <x:f>COUNTA($D$99:$D$128)-L102-O102</x:f>
        <x:v>0</x:v>
      </x:c>
      <x:c r="Q102" s="3"/>
      <x:c r="R102" s="3"/>
    </x:row>
    <x:row r="103" ht="34" customHeight="1">
      <x:c r="A103" s="46"/>
      <x:c r="B103" s="46"/>
      <x:c r="C103" s="46"/>
      <x:c r="D103" s="46"/>
      <x:c r="E103" s="46"/>
      <x:c r="F103" s="46"/>
      <x:c r="G103" s="46"/>
      <x:c r="H103" s="88"/>
      <x:c r="I103" s="46"/>
      <x:c r="J103" s="66"/>
      <x:c r="K103" s="66" t="str">
        <x:v>T4</x:v>
      </x:c>
      <x:c r="L103" s="66" t="n">
        <x:f>COUNTIF($E$99:$E$128,1)+COUNTIF($E$99:$E$128,2)+COUNTIF($E$99:$E$128,3)+COUNTIF($E$99:$E$128,4)+COUNTIF($E$99:$E$128,5)</x:f>
        <x:v>0</x:v>
      </x:c>
      <x:c r="M103" s="66" t="n">
        <x:f>COUNTIF($E$99:$E$128,4)+COUNTIF($E$99:$E$128,5)</x:f>
        <x:v>0</x:v>
      </x:c>
      <x:c r="N103" s="140" t="str">
        <x:f>IF(L103=0,"",M103/L103)</x:f>
      </x:c>
      <x:c r="O103" s="66" t="n">
        <x:f>COUNTIF($E$99:$E$128,"N/A")</x:f>
        <x:v>0</x:v>
      </x:c>
      <x:c r="P103" s="66" t="n">
        <x:f>COUNTA($E$99:$E$128)-L103-O103</x:f>
        <x:v>0</x:v>
      </x:c>
      <x:c r="Q103" s="3"/>
      <x:c r="R103" s="3"/>
    </x:row>
    <x:row r="104" ht="34" customHeight="1">
      <x:c r="A104" s="46"/>
      <x:c r="B104" s="46"/>
      <x:c r="C104" s="46"/>
      <x:c r="D104" s="46"/>
      <x:c r="E104" s="46"/>
      <x:c r="F104" s="46"/>
      <x:c r="G104" s="46"/>
      <x:c r="H104" s="88"/>
      <x:c r="I104" s="46"/>
      <x:c r="J104" s="66"/>
      <x:c r="K104" s="66" t="str">
        <x:v>T5</x:v>
      </x:c>
      <x:c r="L104" s="66" t="n">
        <x:f>COUNTIF($F$99:$F$128,1)+COUNTIF($F$99:$F$128,2)+COUNTIF($F$99:$F$128,3)+COUNTIF($F$99:$F$128,4)+COUNTIF($F$99:$F$128,5)</x:f>
        <x:v>0</x:v>
      </x:c>
      <x:c r="M104" s="66" t="n">
        <x:f>COUNTIF($F$99:$F$128,4)+COUNTIF($F$99:$F$128,5)</x:f>
        <x:v>0</x:v>
      </x:c>
      <x:c r="N104" s="140" t="str">
        <x:f>IF(L104=0,"",M104/L104)</x:f>
      </x:c>
      <x:c r="O104" s="66" t="n">
        <x:f>COUNTIF($F$99:$F$128,"N/A")</x:f>
        <x:v>0</x:v>
      </x:c>
      <x:c r="P104" s="66" t="n">
        <x:f>COUNTA($F$99:$F$128)-L104-O104</x:f>
        <x:v>0</x:v>
      </x:c>
      <x:c r="Q104" s="3"/>
      <x:c r="R104" s="3"/>
    </x:row>
    <x:row r="105" ht="34" customHeight="1">
      <x:c r="A105" s="46"/>
      <x:c r="B105" s="46"/>
      <x:c r="C105" s="46"/>
      <x:c r="D105" s="46"/>
      <x:c r="E105" s="46"/>
      <x:c r="F105" s="46"/>
      <x:c r="G105" s="46"/>
      <x:c r="H105" s="88"/>
      <x:c r="I105" s="46"/>
      <x:c r="J105" s="66"/>
      <x:c r="K105" s="66" t="str">
        <x:v>T6</x:v>
      </x:c>
      <x:c r="L105" s="66" t="n">
        <x:f>COUNTIF($G$99:$G$128,1)+COUNTIF($G$99:$G$128,2)+COUNTIF($G$99:$G$128,3)+COUNTIF($G$99:$G$128,4)+COUNTIF($G$99:$G$128,5)</x:f>
        <x:v>0</x:v>
      </x:c>
      <x:c r="M105" s="66" t="n">
        <x:f>COUNTIF($G$99:$G$128,4)+COUNTIF($G$99:$G$128,5)</x:f>
        <x:v>0</x:v>
      </x:c>
      <x:c r="N105" s="140" t="str">
        <x:f>IF(L105=0,"",M105/L105)</x:f>
      </x:c>
      <x:c r="O105" s="66" t="n">
        <x:f>COUNTIF($G$99:$G$128,"N/A")</x:f>
        <x:v>0</x:v>
      </x:c>
      <x:c r="P105" s="66" t="n">
        <x:f>COUNTA($G$99:$G$128)-L105-O105</x:f>
        <x:v>0</x:v>
      </x:c>
      <x:c r="Q105" s="3"/>
      <x:c r="R105" s="3"/>
    </x:row>
    <x:row r="106" ht="34" customHeight="1">
      <x:c r="A106" s="46"/>
      <x:c r="B106" s="46"/>
      <x:c r="C106" s="46"/>
      <x:c r="D106" s="46"/>
      <x:c r="E106" s="46"/>
      <x:c r="F106" s="46"/>
      <x:c r="G106" s="46"/>
      <x:c r="H106" s="88"/>
      <x:c r="I106" s="46"/>
      <x:c r="J106" s="66"/>
      <x:c r="K106" s="66"/>
      <x:c r="L106" s="66"/>
      <x:c r="M106" s="66"/>
      <x:c r="N106" s="66"/>
      <x:c r="O106" s="66"/>
      <x:c r="P106" s="66"/>
      <x:c r="Q106" s="3"/>
      <x:c r="R106" s="3"/>
    </x:row>
    <x:row r="107" ht="34" customHeight="1">
      <x:c r="A107" s="46"/>
      <x:c r="B107" s="46"/>
      <x:c r="C107" s="46"/>
      <x:c r="D107" s="46"/>
      <x:c r="E107" s="46"/>
      <x:c r="F107" s="46"/>
      <x:c r="G107" s="46"/>
      <x:c r="H107" s="88"/>
      <x:c r="I107" s="46"/>
      <x:c r="J107" s="66"/>
      <x:c r="K107" s="66"/>
      <x:c r="L107" s="66"/>
      <x:c r="M107" s="66"/>
      <x:c r="N107" s="66"/>
      <x:c r="O107" s="66"/>
      <x:c r="P107" s="66"/>
      <x:c r="Q107" s="3"/>
      <x:c r="R107" s="3"/>
    </x:row>
    <x:row r="108" ht="21" customHeight="1">
      <x:c r="A108" s="46"/>
      <x:c r="B108" s="46"/>
      <x:c r="C108" s="46"/>
      <x:c r="D108" s="46"/>
      <x:c r="E108" s="46"/>
      <x:c r="F108" s="46"/>
      <x:c r="G108" s="46"/>
      <x:c r="H108" s="88"/>
      <x:c r="I108" s="46"/>
      <x:c r="J108" s="66"/>
      <x:c r="K108" s="136" t="str">
        <x:v>T1 | The method made clear what I needed to do.</x:v>
      </x:c>
      <x:c r="L108" s="136"/>
      <x:c r="M108" s="136"/>
      <x:c r="N108" s="136"/>
      <x:c r="O108" s="136"/>
      <x:c r="P108" s="136"/>
      <x:c r="Q108" s="3"/>
      <x:c r="R108" s="3"/>
    </x:row>
    <x:row r="109" ht="21" customHeight="1">
      <x:c r="A109" s="46"/>
      <x:c r="B109" s="46"/>
      <x:c r="C109" s="46"/>
      <x:c r="D109" s="46"/>
      <x:c r="E109" s="46"/>
      <x:c r="F109" s="46"/>
      <x:c r="G109" s="46"/>
      <x:c r="H109" s="88"/>
      <x:c r="I109" s="46"/>
      <x:c r="J109" s="66"/>
      <x:c r="K109" s="136"/>
      <x:c r="L109" s="136"/>
      <x:c r="M109" s="136"/>
      <x:c r="N109" s="136"/>
      <x:c r="O109" s="136"/>
      <x:c r="P109" s="136"/>
      <x:c r="Q109" s="3"/>
      <x:c r="R109" s="3"/>
    </x:row>
    <x:row r="110" ht="21" customHeight="1">
      <x:c r="A110" s="46"/>
      <x:c r="B110" s="46"/>
      <x:c r="C110" s="46"/>
      <x:c r="D110" s="46"/>
      <x:c r="E110" s="46"/>
      <x:c r="F110" s="46"/>
      <x:c r="G110" s="46"/>
      <x:c r="H110" s="88"/>
      <x:c r="I110" s="46"/>
      <x:c r="J110" s="66"/>
      <x:c r="K110" s="136" t="str">
        <x:v>T2 | The information arriving at my step was usable.</x:v>
      </x:c>
      <x:c r="L110" s="136"/>
      <x:c r="M110" s="136"/>
      <x:c r="N110" s="136"/>
      <x:c r="O110" s="136"/>
      <x:c r="P110" s="136"/>
      <x:c r="Q110" s="3"/>
      <x:c r="R110" s="3"/>
    </x:row>
    <x:row r="111" ht="21" customHeight="1">
      <x:c r="A111" s="46"/>
      <x:c r="B111" s="46"/>
      <x:c r="C111" s="46"/>
      <x:c r="D111" s="46"/>
      <x:c r="E111" s="46"/>
      <x:c r="F111" s="46"/>
      <x:c r="G111" s="46"/>
      <x:c r="H111" s="88"/>
      <x:c r="I111" s="46"/>
      <x:c r="J111" s="66"/>
      <x:c r="K111" s="136"/>
      <x:c r="L111" s="136"/>
      <x:c r="M111" s="136"/>
      <x:c r="N111" s="136"/>
      <x:c r="O111" s="136"/>
      <x:c r="P111" s="136"/>
      <x:c r="Q111" s="3"/>
      <x:c r="R111" s="3"/>
    </x:row>
    <x:row r="112" ht="21" customHeight="1">
      <x:c r="A112" s="46"/>
      <x:c r="B112" s="46"/>
      <x:c r="C112" s="46"/>
      <x:c r="D112" s="46"/>
      <x:c r="E112" s="46"/>
      <x:c r="F112" s="46"/>
      <x:c r="G112" s="46"/>
      <x:c r="H112" s="88"/>
      <x:c r="I112" s="46"/>
      <x:c r="J112" s="66"/>
      <x:c r="K112" s="136" t="str">
        <x:v>T3 | The handoffs and responsibilities were clear.</x:v>
      </x:c>
      <x:c r="L112" s="136"/>
      <x:c r="M112" s="136"/>
      <x:c r="N112" s="136"/>
      <x:c r="O112" s="136"/>
      <x:c r="P112" s="136"/>
      <x:c r="Q112" s="3"/>
      <x:c r="R112" s="3"/>
    </x:row>
    <x:row r="113" ht="21" customHeight="1">
      <x:c r="A113" s="46"/>
      <x:c r="B113" s="46"/>
      <x:c r="C113" s="46"/>
      <x:c r="D113" s="46"/>
      <x:c r="E113" s="46"/>
      <x:c r="F113" s="46"/>
      <x:c r="G113" s="46"/>
      <x:c r="H113" s="88"/>
      <x:c r="I113" s="46"/>
      <x:c r="J113" s="66"/>
      <x:c r="K113" s="136"/>
      <x:c r="L113" s="136"/>
      <x:c r="M113" s="136"/>
      <x:c r="N113" s="136"/>
      <x:c r="O113" s="136"/>
      <x:c r="P113" s="136"/>
      <x:c r="Q113" s="3"/>
      <x:c r="R113" s="3"/>
    </x:row>
    <x:row r="114" ht="21" customHeight="1">
      <x:c r="A114" s="46"/>
      <x:c r="B114" s="46"/>
      <x:c r="C114" s="46"/>
      <x:c r="D114" s="46"/>
      <x:c r="E114" s="46"/>
      <x:c r="F114" s="46"/>
      <x:c r="G114" s="46"/>
      <x:c r="H114" s="88"/>
      <x:c r="I114" s="46"/>
      <x:c r="J114" s="66"/>
      <x:c r="K114" s="136" t="str">
        <x:v>T4 | The workload created by the method was manageable.</x:v>
      </x:c>
      <x:c r="L114" s="136"/>
      <x:c r="M114" s="136"/>
      <x:c r="N114" s="136"/>
      <x:c r="O114" s="136"/>
      <x:c r="P114" s="136"/>
      <x:c r="Q114" s="3"/>
      <x:c r="R114" s="3"/>
    </x:row>
    <x:row r="115" ht="21" customHeight="1">
      <x:c r="A115" s="46"/>
      <x:c r="B115" s="46"/>
      <x:c r="C115" s="46"/>
      <x:c r="D115" s="46"/>
      <x:c r="E115" s="46"/>
      <x:c r="F115" s="46"/>
      <x:c r="G115" s="46"/>
      <x:c r="H115" s="88"/>
      <x:c r="I115" s="46"/>
      <x:c r="J115" s="66"/>
      <x:c r="K115" s="136"/>
      <x:c r="L115" s="136"/>
      <x:c r="M115" s="136"/>
      <x:c r="N115" s="136"/>
      <x:c r="O115" s="136"/>
      <x:c r="P115" s="136"/>
      <x:c r="Q115" s="3"/>
      <x:c r="R115" s="3"/>
    </x:row>
    <x:row r="116" ht="21" customHeight="1">
      <x:c r="A116" s="46"/>
      <x:c r="B116" s="46"/>
      <x:c r="C116" s="46"/>
      <x:c r="D116" s="46"/>
      <x:c r="E116" s="46"/>
      <x:c r="F116" s="46"/>
      <x:c r="G116" s="46"/>
      <x:c r="H116" s="88"/>
      <x:c r="I116" s="46"/>
      <x:c r="J116" s="66"/>
      <x:c r="K116" s="136" t="str">
        <x:v>T5 | The required controls could be followed in practice.</x:v>
      </x:c>
      <x:c r="L116" s="136"/>
      <x:c r="M116" s="136"/>
      <x:c r="N116" s="136"/>
      <x:c r="O116" s="136"/>
      <x:c r="P116" s="136"/>
      <x:c r="Q116" s="3"/>
      <x:c r="R116" s="3"/>
    </x:row>
    <x:row r="117" ht="21" customHeight="1">
      <x:c r="A117" s="46"/>
      <x:c r="B117" s="46"/>
      <x:c r="C117" s="46"/>
      <x:c r="D117" s="46"/>
      <x:c r="E117" s="46"/>
      <x:c r="F117" s="46"/>
      <x:c r="G117" s="46"/>
      <x:c r="H117" s="88"/>
      <x:c r="I117" s="46"/>
      <x:c r="J117" s="66"/>
      <x:c r="K117" s="136"/>
      <x:c r="L117" s="136"/>
      <x:c r="M117" s="136"/>
      <x:c r="N117" s="136"/>
      <x:c r="O117" s="136"/>
      <x:c r="P117" s="136"/>
      <x:c r="Q117" s="3"/>
      <x:c r="R117" s="3"/>
    </x:row>
    <x:row r="118" ht="21" customHeight="1">
      <x:c r="A118" s="46"/>
      <x:c r="B118" s="46"/>
      <x:c r="C118" s="46"/>
      <x:c r="D118" s="46"/>
      <x:c r="E118" s="46"/>
      <x:c r="F118" s="46"/>
      <x:c r="G118" s="46"/>
      <x:c r="H118" s="88"/>
      <x:c r="I118" s="46"/>
      <x:c r="J118" s="66"/>
      <x:c r="K118" s="136" t="str">
        <x:v>T6 | I could raise a concern about the method and obtain a response.</x:v>
      </x:c>
      <x:c r="L118" s="136"/>
      <x:c r="M118" s="136"/>
      <x:c r="N118" s="136"/>
      <x:c r="O118" s="136"/>
      <x:c r="P118" s="136"/>
      <x:c r="Q118" s="3"/>
      <x:c r="R118" s="3"/>
    </x:row>
    <x:row r="119" ht="21" customHeight="1">
      <x:c r="A119" s="46"/>
      <x:c r="B119" s="46"/>
      <x:c r="C119" s="46"/>
      <x:c r="D119" s="46"/>
      <x:c r="E119" s="46"/>
      <x:c r="F119" s="46"/>
      <x:c r="G119" s="46"/>
      <x:c r="H119" s="88"/>
      <x:c r="I119" s="46"/>
      <x:c r="J119" s="66"/>
      <x:c r="K119" s="136"/>
      <x:c r="L119" s="136"/>
      <x:c r="M119" s="136"/>
      <x:c r="N119" s="136"/>
      <x:c r="O119" s="136"/>
      <x:c r="P119" s="136"/>
      <x:c r="Q119" s="3"/>
      <x:c r="R119" s="3"/>
    </x:row>
    <x:row r="120" ht="34" customHeight="1">
      <x:c r="A120" s="46"/>
      <x:c r="B120" s="46"/>
      <x:c r="C120" s="46"/>
      <x:c r="D120" s="46"/>
      <x:c r="E120" s="46"/>
      <x:c r="F120" s="46"/>
      <x:c r="G120" s="46"/>
      <x:c r="H120" s="88"/>
      <x:c r="I120" s="46"/>
      <x:c r="J120" s="66"/>
      <x:c r="K120" s="66"/>
      <x:c r="L120" s="66"/>
      <x:c r="M120" s="66"/>
      <x:c r="N120" s="66"/>
      <x:c r="O120" s="66"/>
      <x:c r="P120" s="66"/>
      <x:c r="Q120" s="3"/>
      <x:c r="R120" s="3"/>
    </x:row>
    <x:row r="121" ht="34" customHeight="1">
      <x:c r="A121" s="46"/>
      <x:c r="B121" s="46"/>
      <x:c r="C121" s="46"/>
      <x:c r="D121" s="46"/>
      <x:c r="E121" s="46"/>
      <x:c r="F121" s="46"/>
      <x:c r="G121" s="46"/>
      <x:c r="H121" s="88"/>
      <x:c r="I121" s="46"/>
      <x:c r="J121" s="66"/>
      <x:c r="K121" s="66"/>
      <x:c r="L121" s="66"/>
      <x:c r="M121" s="66"/>
      <x:c r="N121" s="66"/>
      <x:c r="O121" s="66"/>
      <x:c r="P121" s="66"/>
      <x:c r="Q121" s="3"/>
      <x:c r="R121" s="3"/>
    </x:row>
    <x:row r="122" ht="34" customHeight="1">
      <x:c r="A122" s="46"/>
      <x:c r="B122" s="46"/>
      <x:c r="C122" s="46"/>
      <x:c r="D122" s="46"/>
      <x:c r="E122" s="46"/>
      <x:c r="F122" s="46"/>
      <x:c r="G122" s="46"/>
      <x:c r="H122" s="88"/>
      <x:c r="I122" s="46"/>
      <x:c r="J122" s="66"/>
      <x:c r="K122" s="136" t="str">
        <x:v>1 Strongly disagree; 2 Disagree; 3 Neither; 4 Agree; 5 Strongly agree; N/A Not applicable. Blank = missing. Report valid n for every item. Do not combine items, user/staff populations, or N/A with neutral. These are original, unvalidated feedback items.</x:v>
      </x:c>
      <x:c r="L122" s="136"/>
      <x:c r="M122" s="136"/>
      <x:c r="N122" s="136"/>
      <x:c r="O122" s="136"/>
      <x:c r="P122" s="136"/>
      <x:c r="Q122" s="3"/>
      <x:c r="R122" s="3"/>
    </x:row>
    <x:row r="123" ht="34" customHeight="1">
      <x:c r="A123" s="46"/>
      <x:c r="B123" s="46"/>
      <x:c r="C123" s="46"/>
      <x:c r="D123" s="46"/>
      <x:c r="E123" s="46"/>
      <x:c r="F123" s="46"/>
      <x:c r="G123" s="46"/>
      <x:c r="H123" s="88"/>
      <x:c r="I123" s="46"/>
      <x:c r="J123" s="66"/>
      <x:c r="K123" s="136"/>
      <x:c r="L123" s="136"/>
      <x:c r="M123" s="136"/>
      <x:c r="N123" s="136"/>
      <x:c r="O123" s="136"/>
      <x:c r="P123" s="136"/>
      <x:c r="Q123" s="3"/>
      <x:c r="R123" s="3"/>
    </x:row>
    <x:row r="124" ht="34" customHeight="1">
      <x:c r="A124" s="46"/>
      <x:c r="B124" s="46"/>
      <x:c r="C124" s="46"/>
      <x:c r="D124" s="46"/>
      <x:c r="E124" s="46"/>
      <x:c r="F124" s="46"/>
      <x:c r="G124" s="46"/>
      <x:c r="H124" s="88"/>
      <x:c r="I124" s="46"/>
      <x:c r="J124" s="66"/>
      <x:c r="K124" s="136"/>
      <x:c r="L124" s="136"/>
      <x:c r="M124" s="136"/>
      <x:c r="N124" s="136"/>
      <x:c r="O124" s="136"/>
      <x:c r="P124" s="136"/>
      <x:c r="Q124" s="3"/>
      <x:c r="R124" s="3"/>
    </x:row>
    <x:row r="125" ht="34" customHeight="1">
      <x:c r="A125" s="46"/>
      <x:c r="B125" s="46"/>
      <x:c r="C125" s="46"/>
      <x:c r="D125" s="46"/>
      <x:c r="E125" s="46"/>
      <x:c r="F125" s="46"/>
      <x:c r="G125" s="46"/>
      <x:c r="H125" s="88"/>
      <x:c r="I125" s="46"/>
      <x:c r="J125" s="66"/>
      <x:c r="K125" s="136"/>
      <x:c r="L125" s="136"/>
      <x:c r="M125" s="136"/>
      <x:c r="N125" s="136"/>
      <x:c r="O125" s="136"/>
      <x:c r="P125" s="136"/>
      <x:c r="Q125" s="3"/>
      <x:c r="R125" s="3"/>
    </x:row>
    <x:row r="126" ht="34" customHeight="1">
      <x:c r="A126" s="46"/>
      <x:c r="B126" s="46"/>
      <x:c r="C126" s="46"/>
      <x:c r="D126" s="46"/>
      <x:c r="E126" s="46"/>
      <x:c r="F126" s="46"/>
      <x:c r="G126" s="46"/>
      <x:c r="H126" s="88"/>
      <x:c r="I126" s="46"/>
      <x:c r="J126" s="66"/>
      <x:c r="K126" s="136"/>
      <x:c r="L126" s="136"/>
      <x:c r="M126" s="136"/>
      <x:c r="N126" s="136"/>
      <x:c r="O126" s="136"/>
      <x:c r="P126" s="136"/>
      <x:c r="Q126" s="3"/>
      <x:c r="R126" s="3"/>
    </x:row>
    <x:row r="127" ht="34" customHeight="1">
      <x:c r="A127" s="46"/>
      <x:c r="B127" s="46"/>
      <x:c r="C127" s="46"/>
      <x:c r="D127" s="46"/>
      <x:c r="E127" s="46"/>
      <x:c r="F127" s="46"/>
      <x:c r="G127" s="46"/>
      <x:c r="H127" s="88"/>
      <x:c r="I127" s="46"/>
      <x:c r="J127" s="66"/>
      <x:c r="K127" s="66"/>
      <x:c r="L127" s="66"/>
      <x:c r="M127" s="66"/>
      <x:c r="N127" s="66"/>
      <x:c r="O127" s="66"/>
      <x:c r="P127" s="66"/>
      <x:c r="Q127" s="3"/>
      <x:c r="R127" s="3"/>
    </x:row>
    <x:row r="128" ht="34" customHeight="1">
      <x:c r="A128" s="46"/>
      <x:c r="B128" s="46"/>
      <x:c r="C128" s="46"/>
      <x:c r="D128" s="46"/>
      <x:c r="E128" s="46"/>
      <x:c r="F128" s="46"/>
      <x:c r="G128" s="46"/>
      <x:c r="H128" s="88"/>
      <x:c r="I128" s="46"/>
      <x:c r="J128" s="66"/>
      <x:c r="K128" s="66"/>
      <x:c r="L128" s="66"/>
      <x:c r="M128" s="66"/>
      <x:c r="N128" s="66"/>
      <x:c r="O128" s="66"/>
      <x:c r="P128" s="66"/>
      <x:c r="Q128" s="3"/>
      <x:c r="R128" s="3"/>
    </x:row>
    <x:row r="129" ht="20" customHeight="1">
      <x:c r="A129" s="66"/>
      <x:c r="B129" s="66"/>
      <x:c r="C129" s="66"/>
      <x:c r="D129" s="66"/>
      <x:c r="E129" s="66"/>
      <x:c r="F129" s="66"/>
      <x:c r="G129" s="66"/>
      <x:c r="H129" s="66"/>
      <x:c r="I129" s="66"/>
      <x:c r="J129" s="66"/>
      <x:c r="K129" s="66"/>
      <x:c r="L129" s="66"/>
      <x:c r="M129" s="66"/>
      <x:c r="N129" s="66"/>
      <x:c r="O129" s="66"/>
      <x:c r="P129" s="66"/>
      <x:c r="Q129" s="3"/>
      <x:c r="R129" s="3"/>
    </x:row>
    <x:row r="130" ht="20" customHeight="1">
      <x:c r="A130" s="66"/>
      <x:c r="B130" s="66"/>
      <x:c r="C130" s="66"/>
      <x:c r="D130" s="66"/>
      <x:c r="E130" s="66"/>
      <x:c r="F130" s="66"/>
      <x:c r="G130" s="66"/>
      <x:c r="H130" s="66"/>
      <x:c r="I130" s="66"/>
      <x:c r="J130" s="66"/>
      <x:c r="K130" s="66"/>
      <x:c r="L130" s="66"/>
      <x:c r="M130" s="66"/>
      <x:c r="N130" s="66"/>
      <x:c r="O130" s="66"/>
      <x:c r="P130" s="66"/>
      <x:c r="Q130" s="3"/>
      <x:c r="R130" s="3"/>
    </x:row>
    <x:row r="131" ht="20" customHeight="1">
      <x:c r="A131" s="66"/>
      <x:c r="B131" s="66"/>
      <x:c r="C131" s="66"/>
      <x:c r="D131" s="66"/>
      <x:c r="E131" s="66"/>
      <x:c r="F131" s="66"/>
      <x:c r="G131" s="66"/>
      <x:c r="H131" s="66"/>
      <x:c r="I131" s="66"/>
      <x:c r="J131" s="66"/>
      <x:c r="K131" s="66"/>
      <x:c r="L131" s="66"/>
      <x:c r="M131" s="66"/>
      <x:c r="N131" s="66"/>
      <x:c r="O131" s="66"/>
      <x:c r="P131" s="66"/>
      <x:c r="Q131" s="3"/>
      <x:c r="R131" s="3"/>
    </x:row>
    <x:row r="132" ht="20" customHeight="1">
      <x:c r="A132" s="136" t="str">
        <x:v>DATA-QUALITY REVIEW | Check anonymous ID uniqueness, responses without IDs, invalid values, invitation counts and whether respondents represent the people affected. A 0 is invalid, not a score. These 30-row collection areas are bounded; extend ranges and summary formulas before adding more respondents. Keep free text in an appropriately controlled record.</x:v>
      </x:c>
      <x:c r="B132" s="136"/>
      <x:c r="C132" s="136"/>
      <x:c r="D132" s="136"/>
      <x:c r="E132" s="136"/>
      <x:c r="F132" s="136"/>
      <x:c r="G132" s="136"/>
      <x:c r="H132" s="136"/>
      <x:c r="I132" s="136"/>
      <x:c r="J132" s="136"/>
      <x:c r="K132" s="136"/>
      <x:c r="L132" s="136"/>
      <x:c r="M132" s="136"/>
      <x:c r="N132" s="136"/>
      <x:c r="O132" s="136"/>
      <x:c r="P132" s="136"/>
      <x:c r="Q132" s="3"/>
      <x:c r="R132" s="3"/>
    </x:row>
    <x:row r="133" ht="20" customHeight="1">
      <x:c r="A133" s="136"/>
      <x:c r="B133" s="136"/>
      <x:c r="C133" s="136"/>
      <x:c r="D133" s="136"/>
      <x:c r="E133" s="136"/>
      <x:c r="F133" s="136"/>
      <x:c r="G133" s="136"/>
      <x:c r="H133" s="136"/>
      <x:c r="I133" s="136"/>
      <x:c r="J133" s="136"/>
      <x:c r="K133" s="136"/>
      <x:c r="L133" s="136"/>
      <x:c r="M133" s="136"/>
      <x:c r="N133" s="136"/>
      <x:c r="O133" s="136"/>
      <x:c r="P133" s="136"/>
      <x:c r="Q133" s="3"/>
      <x:c r="R133" s="3"/>
    </x:row>
    <x:row r="134" ht="20" customHeight="1">
      <x:c r="A134" s="136"/>
      <x:c r="B134" s="136"/>
      <x:c r="C134" s="136"/>
      <x:c r="D134" s="136"/>
      <x:c r="E134" s="136"/>
      <x:c r="F134" s="136"/>
      <x:c r="G134" s="136"/>
      <x:c r="H134" s="136"/>
      <x:c r="I134" s="136"/>
      <x:c r="J134" s="136"/>
      <x:c r="K134" s="136"/>
      <x:c r="L134" s="136"/>
      <x:c r="M134" s="136"/>
      <x:c r="N134" s="136"/>
      <x:c r="O134" s="136"/>
      <x:c r="P134" s="136"/>
      <x:c r="Q134" s="3"/>
      <x:c r="R134" s="3"/>
    </x:row>
    <x:row r="135" ht="20" customHeight="1">
      <x:c r="A135" s="136"/>
      <x:c r="B135" s="136"/>
      <x:c r="C135" s="136"/>
      <x:c r="D135" s="136"/>
      <x:c r="E135" s="136"/>
      <x:c r="F135" s="136"/>
      <x:c r="G135" s="136"/>
      <x:c r="H135" s="136"/>
      <x:c r="I135" s="136"/>
      <x:c r="J135" s="136"/>
      <x:c r="K135" s="136"/>
      <x:c r="L135" s="136"/>
      <x:c r="M135" s="136"/>
      <x:c r="N135" s="136"/>
      <x:c r="O135" s="136"/>
      <x:c r="P135" s="136"/>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 ref="A53:L54"/>
    <x:mergeCell ref="K56:P56"/>
    <x:mergeCell ref="K66:P67"/>
    <x:mergeCell ref="K68:P69"/>
    <x:mergeCell ref="K70:P71"/>
    <x:mergeCell ref="K72:P73"/>
    <x:mergeCell ref="K74:P75"/>
    <x:mergeCell ref="K76:P77"/>
    <x:mergeCell ref="K80:P84"/>
    <x:mergeCell ref="K98:P98"/>
    <x:mergeCell ref="K108:P109"/>
    <x:mergeCell ref="K110:P111"/>
    <x:mergeCell ref="K112:P113"/>
    <x:mergeCell ref="K114:P115"/>
    <x:mergeCell ref="K116:P117"/>
    <x:mergeCell ref="K118:P119"/>
    <x:mergeCell ref="K122:P126"/>
    <x:mergeCell ref="A132:P135"/>
  </x:mergeCells>
  <x:dataValidations count="2">
    <x:dataValidation type="list" sqref="B57:G86">
      <x:formula1>"1,2,3,4,5,N/A"</x:formula1>
    </x:dataValidation>
    <x:dataValidation type="list" sqref="B99:G128">
      <x:formula1>"1,2,3,4,5,N/A"</x:formula1>
    </x:dataValidation>
  </x:dataValidations>
  <x:pageMargins left="0.7" right="0.7" top="0.75" bottom="0.75" header="0.3" footer="0.3"/>
</x:worksheet>
</file>

<file path=xl/worksheets/sheet28.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D08  Test change-control record</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Change the experiment deliberately and preserve what was actually tested.</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D08</x:v>
      </x:c>
      <x:c r="B9" s="34"/>
      <x:c r="C9" s="34"/>
      <x:c r="D9" s="34"/>
      <x:c r="E9" s="34"/>
      <x:c r="F9" s="34"/>
      <x:c r="G9" s="34"/>
      <x:c r="H9" s="34"/>
      <x:c r="I9" s="34"/>
      <x:c r="J9" s="34"/>
      <x:c r="K9" s="34"/>
      <x:c r="L9" s="34"/>
      <x:c r="M9" s="3"/>
      <x:c r="N9" s="3"/>
      <x:c r="O9" s="3"/>
      <x:c r="P9" s="3"/>
      <x:c r="Q9" s="3"/>
      <x:c r="R9" s="3"/>
    </x:row>
    <x:row r="10" ht="20" customHeight="1">
      <x:c r="A10" s="40" t="str">
        <x:v>01  Proposed change</x:v>
      </x:c>
      <x:c r="B10" s="40"/>
      <x:c r="C10" s="40"/>
      <x:c r="D10" s="17" t="str">
        <x:v>State old and new method or boundary.</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Reason and evidence</x:v>
      </x:c>
      <x:c r="B16" s="40"/>
      <x:c r="C16" s="40"/>
      <x:c r="D16" s="17" t="str">
        <x:v>Link the request to learning or risk.</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Impact assessment</x:v>
      </x:c>
      <x:c r="B22" s="40"/>
      <x:c r="C22" s="40"/>
      <x:c r="D22" s="17" t="str">
        <x:v>Record effects on measures, controls and comparability.</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Decision and authority</x:v>
      </x:c>
      <x:c r="B28" s="40"/>
      <x:c r="C28" s="40"/>
      <x:c r="D28" s="17" t="str">
        <x:v>Record approve, defer, reject or stop/restart.</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Version and communication</x:v>
      </x:c>
      <x:c r="B34" s="40"/>
      <x:c r="C34" s="40"/>
      <x:c r="D34" s="17" t="str">
        <x:v>State effective point and who must know.</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Analysis treatment</x:v>
      </x:c>
      <x:c r="B40" s="40"/>
      <x:c r="C40" s="40"/>
      <x:c r="D40" s="17" t="str">
        <x:v>State how data will be separated and linked.</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Never delay urgent containment to complete paperwork. Conversely, do not use "continuous improvement" to bypass required approval. Data collected under materially different definitions or methods must be identified and interpreted separately.</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P13, D01, A02  |  METHOD SOURCES: U01, R02</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4" t="str">
        <x:v>LIVE WORKING REGISTER | Add evidence, ownership and a review date.</x:v>
      </x:c>
      <x:c r="B53" s="34"/>
      <x:c r="C53" s="34"/>
      <x:c r="D53" s="34"/>
      <x:c r="E53" s="34"/>
      <x:c r="F53" s="34"/>
      <x:c r="G53" s="34"/>
      <x:c r="H53" s="34"/>
      <x:c r="I53" s="34"/>
      <x:c r="J53" s="34"/>
      <x:c r="K53" s="34"/>
      <x:c r="L53" s="34"/>
      <x:c r="M53" s="3"/>
      <x:c r="N53" s="3"/>
      <x:c r="O53" s="3"/>
      <x:c r="P53" s="3"/>
      <x:c r="Q53" s="3"/>
      <x:c r="R53" s="3"/>
    </x:row>
    <x:row r="54" ht="20" customHeight="1">
      <x:c r="A54" s="34"/>
      <x:c r="B54" s="34"/>
      <x:c r="C54" s="34"/>
      <x:c r="D54" s="34"/>
      <x:c r="E54" s="34"/>
      <x:c r="F54" s="34"/>
      <x:c r="G54" s="34"/>
      <x:c r="H54" s="34"/>
      <x:c r="I54" s="34"/>
      <x:c r="J54" s="34"/>
      <x:c r="K54" s="34"/>
      <x:c r="L54" s="34"/>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38" customHeight="1">
      <x:c r="A56" s="77" t="str">
        <x:v>Change ID</x:v>
      </x:c>
      <x:c r="B56" s="77" t="str">
        <x:v>Cycle</x:v>
      </x:c>
      <x:c r="C56" s="77" t="str">
        <x:v>Proposed change</x:v>
      </x:c>
      <x:c r="D56" s="77" t="str">
        <x:v>Reason/evidence</x:v>
      </x:c>
      <x:c r="E56" s="77" t="str">
        <x:v>Safety/data impact</x:v>
      </x:c>
      <x:c r="F56" s="77" t="str">
        <x:v>Authority</x:v>
      </x:c>
      <x:c r="G56" s="77" t="str">
        <x:v>Decision</x:v>
      </x:c>
      <x:c r="H56" s="77" t="str">
        <x:v>Version/date</x:v>
      </x:c>
      <x:c r="I56" s="3"/>
      <x:c r="J56" s="3"/>
      <x:c r="K56" s="3"/>
      <x:c r="L56" s="3"/>
      <x:c r="M56" s="3"/>
      <x:c r="N56" s="3"/>
      <x:c r="O56" s="3"/>
      <x:c r="P56" s="3"/>
      <x:c r="Q56" s="3"/>
      <x:c r="R56" s="3"/>
    </x:row>
    <x:row r="57" ht="34" customHeight="1">
      <x:c r="A57" s="46"/>
      <x:c r="B57" s="46"/>
      <x:c r="C57" s="46"/>
      <x:c r="D57" s="46"/>
      <x:c r="E57" s="46"/>
      <x:c r="F57" s="46"/>
      <x:c r="G57" s="46"/>
      <x:c r="H57" s="46"/>
      <x:c r="I57" s="3"/>
      <x:c r="J57" s="3"/>
      <x:c r="K57" s="3"/>
      <x:c r="L57" s="3"/>
      <x:c r="M57" s="3"/>
      <x:c r="N57" s="3"/>
      <x:c r="O57" s="3"/>
      <x:c r="P57" s="3"/>
      <x:c r="Q57" s="3"/>
      <x:c r="R57" s="3"/>
    </x:row>
    <x:row r="58" ht="34" customHeight="1">
      <x:c r="A58" s="46"/>
      <x:c r="B58" s="46"/>
      <x:c r="C58" s="46"/>
      <x:c r="D58" s="46"/>
      <x:c r="E58" s="46"/>
      <x:c r="F58" s="46"/>
      <x:c r="G58" s="46"/>
      <x:c r="H58" s="46"/>
      <x:c r="I58" s="3"/>
      <x:c r="J58" s="3"/>
      <x:c r="K58" s="3"/>
      <x:c r="L58" s="3"/>
      <x:c r="M58" s="3"/>
      <x:c r="N58" s="3"/>
      <x:c r="O58" s="3"/>
      <x:c r="P58" s="3"/>
      <x:c r="Q58" s="3"/>
      <x:c r="R58" s="3"/>
    </x:row>
    <x:row r="59" ht="34" customHeight="1">
      <x:c r="A59" s="46"/>
      <x:c r="B59" s="46"/>
      <x:c r="C59" s="46"/>
      <x:c r="D59" s="46"/>
      <x:c r="E59" s="46"/>
      <x:c r="F59" s="46"/>
      <x:c r="G59" s="46"/>
      <x:c r="H59" s="46"/>
      <x:c r="I59" s="3"/>
      <x:c r="J59" s="3"/>
      <x:c r="K59" s="3"/>
      <x:c r="L59" s="3"/>
      <x:c r="M59" s="3"/>
      <x:c r="N59" s="3"/>
      <x:c r="O59" s="3"/>
      <x:c r="P59" s="3"/>
      <x:c r="Q59" s="3"/>
      <x:c r="R59" s="3"/>
    </x:row>
    <x:row r="60" ht="34" customHeight="1">
      <x:c r="A60" s="46"/>
      <x:c r="B60" s="46"/>
      <x:c r="C60" s="46"/>
      <x:c r="D60" s="46"/>
      <x:c r="E60" s="46"/>
      <x:c r="F60" s="46"/>
      <x:c r="G60" s="46"/>
      <x:c r="H60" s="46"/>
      <x:c r="I60" s="3"/>
      <x:c r="J60" s="3"/>
      <x:c r="K60" s="3"/>
      <x:c r="L60" s="3"/>
      <x:c r="M60" s="3"/>
      <x:c r="N60" s="3"/>
      <x:c r="O60" s="3"/>
      <x:c r="P60" s="3"/>
      <x:c r="Q60" s="3"/>
      <x:c r="R60" s="3"/>
    </x:row>
    <x:row r="61" ht="34" customHeight="1">
      <x:c r="A61" s="46"/>
      <x:c r="B61" s="46"/>
      <x:c r="C61" s="46"/>
      <x:c r="D61" s="46"/>
      <x:c r="E61" s="46"/>
      <x:c r="F61" s="46"/>
      <x:c r="G61" s="46"/>
      <x:c r="H61" s="46"/>
      <x:c r="I61" s="3"/>
      <x:c r="J61" s="3"/>
      <x:c r="K61" s="3"/>
      <x:c r="L61" s="3"/>
      <x:c r="M61" s="3"/>
      <x:c r="N61" s="3"/>
      <x:c r="O61" s="3"/>
      <x:c r="P61" s="3"/>
      <x:c r="Q61" s="3"/>
      <x:c r="R61" s="3"/>
    </x:row>
    <x:row r="62" ht="34" customHeight="1">
      <x:c r="A62" s="46"/>
      <x:c r="B62" s="46"/>
      <x:c r="C62" s="46"/>
      <x:c r="D62" s="46"/>
      <x:c r="E62" s="46"/>
      <x:c r="F62" s="46"/>
      <x:c r="G62" s="46"/>
      <x:c r="H62" s="46"/>
      <x:c r="I62" s="3"/>
      <x:c r="J62" s="3"/>
      <x:c r="K62" s="3"/>
      <x:c r="L62" s="3"/>
      <x:c r="M62" s="3"/>
      <x:c r="N62" s="3"/>
      <x:c r="O62" s="3"/>
      <x:c r="P62" s="3"/>
      <x:c r="Q62" s="3"/>
      <x:c r="R62" s="3"/>
    </x:row>
    <x:row r="63" ht="34" customHeight="1">
      <x:c r="A63" s="46"/>
      <x:c r="B63" s="46"/>
      <x:c r="C63" s="46"/>
      <x:c r="D63" s="46"/>
      <x:c r="E63" s="46"/>
      <x:c r="F63" s="46"/>
      <x:c r="G63" s="46"/>
      <x:c r="H63" s="46"/>
      <x:c r="I63" s="3"/>
      <x:c r="J63" s="3"/>
      <x:c r="K63" s="3"/>
      <x:c r="L63" s="3"/>
      <x:c r="M63" s="3"/>
      <x:c r="N63" s="3"/>
      <x:c r="O63" s="3"/>
      <x:c r="P63" s="3"/>
      <x:c r="Q63" s="3"/>
      <x:c r="R63" s="3"/>
    </x:row>
    <x:row r="64" ht="34" customHeight="1">
      <x:c r="A64" s="46"/>
      <x:c r="B64" s="46"/>
      <x:c r="C64" s="46"/>
      <x:c r="D64" s="46"/>
      <x:c r="E64" s="46"/>
      <x:c r="F64" s="46"/>
      <x:c r="G64" s="46"/>
      <x:c r="H64" s="46"/>
      <x:c r="I64" s="3"/>
      <x:c r="J64" s="3"/>
      <x:c r="K64" s="3"/>
      <x:c r="L64" s="3"/>
      <x:c r="M64" s="3"/>
      <x:c r="N64" s="3"/>
      <x:c r="O64" s="3"/>
      <x:c r="P64" s="3"/>
      <x:c r="Q64" s="3"/>
      <x:c r="R64" s="3"/>
    </x:row>
    <x:row r="65" ht="34" customHeight="1">
      <x:c r="A65" s="46"/>
      <x:c r="B65" s="46"/>
      <x:c r="C65" s="46"/>
      <x:c r="D65" s="46"/>
      <x:c r="E65" s="46"/>
      <x:c r="F65" s="46"/>
      <x:c r="G65" s="46"/>
      <x:c r="H65" s="46"/>
      <x:c r="I65" s="3"/>
      <x:c r="J65" s="3"/>
      <x:c r="K65" s="3"/>
      <x:c r="L65" s="3"/>
      <x:c r="M65" s="3"/>
      <x:c r="N65" s="3"/>
      <x:c r="O65" s="3"/>
      <x:c r="P65" s="3"/>
      <x:c r="Q65" s="3"/>
      <x:c r="R65" s="3"/>
    </x:row>
    <x:row r="66" ht="34" customHeight="1">
      <x:c r="A66" s="46"/>
      <x:c r="B66" s="46"/>
      <x:c r="C66" s="46"/>
      <x:c r="D66" s="46"/>
      <x:c r="E66" s="46"/>
      <x:c r="F66" s="46"/>
      <x:c r="G66" s="46"/>
      <x:c r="H66" s="46"/>
      <x:c r="I66" s="3"/>
      <x:c r="J66" s="3"/>
      <x:c r="K66" s="3"/>
      <x:c r="L66" s="3"/>
      <x:c r="M66" s="3"/>
      <x:c r="N66" s="3"/>
      <x:c r="O66" s="3"/>
      <x:c r="P66" s="3"/>
      <x:c r="Q66" s="3"/>
      <x:c r="R66" s="3"/>
    </x:row>
    <x:row r="67" ht="34" customHeight="1">
      <x:c r="A67" s="46"/>
      <x:c r="B67" s="46"/>
      <x:c r="C67" s="46"/>
      <x:c r="D67" s="46"/>
      <x:c r="E67" s="46"/>
      <x:c r="F67" s="46"/>
      <x:c r="G67" s="46"/>
      <x:c r="H67" s="46"/>
      <x:c r="I67" s="3"/>
      <x:c r="J67" s="3"/>
      <x:c r="K67" s="3"/>
      <x:c r="L67" s="3"/>
      <x:c r="M67" s="3"/>
      <x:c r="N67" s="3"/>
      <x:c r="O67" s="3"/>
      <x:c r="P67" s="3"/>
      <x:c r="Q67" s="3"/>
      <x:c r="R67" s="3"/>
    </x:row>
    <x:row r="68" ht="34" customHeight="1">
      <x:c r="A68" s="46"/>
      <x:c r="B68" s="46"/>
      <x:c r="C68" s="46"/>
      <x:c r="D68" s="46"/>
      <x:c r="E68" s="46"/>
      <x:c r="F68" s="46"/>
      <x:c r="G68" s="46"/>
      <x:c r="H68" s="46"/>
      <x:c r="I68" s="3"/>
      <x:c r="J68" s="3"/>
      <x:c r="K68" s="3"/>
      <x:c r="L68" s="3"/>
      <x:c r="M68" s="3"/>
      <x:c r="N68" s="3"/>
      <x:c r="O68" s="3"/>
      <x:c r="P68" s="3"/>
      <x:c r="Q68" s="3"/>
      <x:c r="R68" s="3"/>
    </x:row>
    <x:row r="69" ht="34" customHeight="1">
      <x:c r="A69" s="46"/>
      <x:c r="B69" s="46"/>
      <x:c r="C69" s="46"/>
      <x:c r="D69" s="46"/>
      <x:c r="E69" s="46"/>
      <x:c r="F69" s="46"/>
      <x:c r="G69" s="46"/>
      <x:c r="H69" s="46"/>
      <x:c r="I69" s="3"/>
      <x:c r="J69" s="3"/>
      <x:c r="K69" s="3"/>
      <x:c r="L69" s="3"/>
      <x:c r="M69" s="3"/>
      <x:c r="N69" s="3"/>
      <x:c r="O69" s="3"/>
      <x:c r="P69" s="3"/>
      <x:c r="Q69" s="3"/>
      <x:c r="R69" s="3"/>
    </x:row>
    <x:row r="70" ht="34" customHeight="1">
      <x:c r="A70" s="46"/>
      <x:c r="B70" s="46"/>
      <x:c r="C70" s="46"/>
      <x:c r="D70" s="46"/>
      <x:c r="E70" s="46"/>
      <x:c r="F70" s="46"/>
      <x:c r="G70" s="46"/>
      <x:c r="H70" s="46"/>
      <x:c r="I70" s="3"/>
      <x:c r="J70" s="3"/>
      <x:c r="K70" s="3"/>
      <x:c r="L70" s="3"/>
      <x:c r="M70" s="3"/>
      <x:c r="N70" s="3"/>
      <x:c r="O70" s="3"/>
      <x:c r="P70" s="3"/>
      <x:c r="Q70" s="3"/>
      <x:c r="R70" s="3"/>
    </x:row>
    <x:row r="71" ht="34" customHeight="1">
      <x:c r="A71" s="46"/>
      <x:c r="B71" s="46"/>
      <x:c r="C71" s="46"/>
      <x:c r="D71" s="46"/>
      <x:c r="E71" s="46"/>
      <x:c r="F71" s="46"/>
      <x:c r="G71" s="46"/>
      <x:c r="H71" s="46"/>
      <x:c r="I71" s="3"/>
      <x:c r="J71" s="3"/>
      <x:c r="K71" s="3"/>
      <x:c r="L71" s="3"/>
      <x:c r="M71" s="3"/>
      <x:c r="N71" s="3"/>
      <x:c r="O71" s="3"/>
      <x:c r="P71" s="3"/>
      <x:c r="Q71" s="3"/>
      <x:c r="R71" s="3"/>
    </x:row>
    <x:row r="72" ht="34" customHeight="1">
      <x:c r="A72" s="46"/>
      <x:c r="B72" s="46"/>
      <x:c r="C72" s="46"/>
      <x:c r="D72" s="46"/>
      <x:c r="E72" s="46"/>
      <x:c r="F72" s="46"/>
      <x:c r="G72" s="46"/>
      <x:c r="H72" s="46"/>
      <x:c r="I72" s="3"/>
      <x:c r="J72" s="3"/>
      <x:c r="K72" s="3"/>
      <x:c r="L72" s="3"/>
      <x:c r="M72" s="3"/>
      <x:c r="N72" s="3"/>
      <x:c r="O72" s="3"/>
      <x:c r="P72" s="3"/>
      <x:c r="Q72" s="3"/>
      <x:c r="R72" s="3"/>
    </x:row>
    <x:row r="73" ht="34" customHeight="1">
      <x:c r="A73" s="46"/>
      <x:c r="B73" s="46"/>
      <x:c r="C73" s="46"/>
      <x:c r="D73" s="46"/>
      <x:c r="E73" s="46"/>
      <x:c r="F73" s="46"/>
      <x:c r="G73" s="46"/>
      <x:c r="H73" s="46"/>
      <x:c r="I73" s="3"/>
      <x:c r="J73" s="3"/>
      <x:c r="K73" s="3"/>
      <x:c r="L73" s="3"/>
      <x:c r="M73" s="3"/>
      <x:c r="N73" s="3"/>
      <x:c r="O73" s="3"/>
      <x:c r="P73" s="3"/>
      <x:c r="Q73" s="3"/>
      <x:c r="R73" s="3"/>
    </x:row>
    <x:row r="74" ht="34" customHeight="1">
      <x:c r="A74" s="46"/>
      <x:c r="B74" s="46"/>
      <x:c r="C74" s="46"/>
      <x:c r="D74" s="46"/>
      <x:c r="E74" s="46"/>
      <x:c r="F74" s="46"/>
      <x:c r="G74" s="46"/>
      <x:c r="H74" s="46"/>
      <x:c r="I74" s="3"/>
      <x:c r="J74" s="3"/>
      <x:c r="K74" s="3"/>
      <x:c r="L74" s="3"/>
      <x:c r="M74" s="3"/>
      <x:c r="N74" s="3"/>
      <x:c r="O74" s="3"/>
      <x:c r="P74" s="3"/>
      <x:c r="Q74" s="3"/>
      <x:c r="R74" s="3"/>
    </x:row>
    <x:row r="75" ht="34" customHeight="1">
      <x:c r="A75" s="46"/>
      <x:c r="B75" s="46"/>
      <x:c r="C75" s="46"/>
      <x:c r="D75" s="46"/>
      <x:c r="E75" s="46"/>
      <x:c r="F75" s="46"/>
      <x:c r="G75" s="46"/>
      <x:c r="H75" s="46"/>
      <x:c r="I75" s="3"/>
      <x:c r="J75" s="3"/>
      <x:c r="K75" s="3"/>
      <x:c r="L75" s="3"/>
      <x:c r="M75" s="3"/>
      <x:c r="N75" s="3"/>
      <x:c r="O75" s="3"/>
      <x:c r="P75" s="3"/>
      <x:c r="Q75" s="3"/>
      <x:c r="R75" s="3"/>
    </x:row>
    <x:row r="76" ht="34" customHeight="1">
      <x:c r="A76" s="46"/>
      <x:c r="B76" s="46"/>
      <x:c r="C76" s="46"/>
      <x:c r="D76" s="46"/>
      <x:c r="E76" s="46"/>
      <x:c r="F76" s="46"/>
      <x:c r="G76" s="46"/>
      <x:c r="H76" s="46"/>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136" t="str">
        <x:v>Record facts separately from hypotheses. A populated row is not approval: keep the decision authority and supporting evidence explicit. Review access controls before entering identifiable or sensitive information.</x:v>
      </x:c>
      <x:c r="B79" s="136"/>
      <x:c r="C79" s="136"/>
      <x:c r="D79" s="136"/>
      <x:c r="E79" s="136"/>
      <x:c r="F79" s="136"/>
      <x:c r="G79" s="136"/>
      <x:c r="H79" s="136"/>
      <x:c r="I79" s="136"/>
      <x:c r="J79" s="136"/>
      <x:c r="K79" s="136"/>
      <x:c r="L79" s="136"/>
      <x:c r="M79" s="3"/>
      <x:c r="N79" s="3"/>
      <x:c r="O79" s="3"/>
      <x:c r="P79" s="3"/>
      <x:c r="Q79" s="3"/>
      <x:c r="R79" s="3"/>
    </x:row>
    <x:row r="80" ht="20" customHeight="1">
      <x:c r="A80" s="136"/>
      <x:c r="B80" s="136"/>
      <x:c r="C80" s="136"/>
      <x:c r="D80" s="136"/>
      <x:c r="E80" s="136"/>
      <x:c r="F80" s="136"/>
      <x:c r="G80" s="136"/>
      <x:c r="H80" s="136"/>
      <x:c r="I80" s="136"/>
      <x:c r="J80" s="136"/>
      <x:c r="K80" s="136"/>
      <x:c r="L80" s="136"/>
      <x:c r="M80" s="3"/>
      <x:c r="N80" s="3"/>
      <x:c r="O80" s="3"/>
      <x:c r="P80" s="3"/>
      <x:c r="Q80" s="3"/>
      <x:c r="R80" s="3"/>
    </x:row>
    <x:row r="81" ht="20" customHeight="1">
      <x:c r="A81" s="136"/>
      <x:c r="B81" s="136"/>
      <x:c r="C81" s="136"/>
      <x:c r="D81" s="136"/>
      <x:c r="E81" s="136"/>
      <x:c r="F81" s="136"/>
      <x:c r="G81" s="136"/>
      <x:c r="H81" s="136"/>
      <x:c r="I81" s="136"/>
      <x:c r="J81" s="136"/>
      <x:c r="K81" s="136"/>
      <x:c r="L81" s="136"/>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 ref="A53:L54"/>
    <x:mergeCell ref="A79:L81"/>
  </x:mergeCells>
  <x:pageMargins left="0.7" right="0.7" top="0.75" bottom="0.75" header="0.3" footer="0.3"/>
</x:worksheet>
</file>

<file path=xl/worksheets/sheet29.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S01  Prediction-to-results review</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Compare what you expected with what actually happened before choosing the next action.</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S01</x:v>
      </x:c>
      <x:c r="B9" s="34"/>
      <x:c r="C9" s="34"/>
      <x:c r="D9" s="34"/>
      <x:c r="E9" s="34"/>
      <x:c r="F9" s="34"/>
      <x:c r="G9" s="34"/>
      <x:c r="H9" s="34"/>
      <x:c r="I9" s="34"/>
      <x:c r="J9" s="34"/>
      <x:c r="K9" s="34"/>
      <x:c r="L9" s="34"/>
      <x:c r="M9" s="3"/>
      <x:c r="N9" s="3"/>
      <x:c r="O9" s="3"/>
      <x:c r="P9" s="3"/>
      <x:c r="Q9" s="3"/>
      <x:c r="R9" s="3"/>
    </x:row>
    <x:row r="10" ht="20" customHeight="1">
      <x:c r="A10" s="40" t="str">
        <x:v>01  Question and prediction</x:v>
      </x:c>
      <x:c r="B10" s="40"/>
      <x:c r="C10" s="40"/>
      <x:c r="D10" s="17" t="str">
        <x:v>Preserve the original expectations.</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Execution and data quality</x:v>
      </x:c>
      <x:c r="B16" s="40"/>
      <x:c r="C16" s="40"/>
      <x:c r="D16" s="17" t="str">
        <x:v>State what was actually tested and whether data are usable.</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Actual results</x:v>
      </x:c>
      <x:c r="B22" s="40"/>
      <x:c r="C22" s="40"/>
      <x:c r="D22" s="17" t="str">
        <x:v>Compare each measure with its prediction.</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Explanation and alternatives</x:v>
      </x:c>
      <x:c r="B28" s="40"/>
      <x:c r="C28" s="40"/>
      <x:c r="D28" s="17" t="str">
        <x:v>Record mechanisms and other plausible explanations.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Balancing and experience</x:v>
      </x:c>
      <x:c r="B34" s="40"/>
      <x:c r="C34" s="40"/>
      <x:c r="D34" s="17" t="str">
        <x:v>Include burden, safety and access evidence.</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Learning and next question</x:v>
      </x:c>
      <x:c r="B40" s="40"/>
      <x:c r="C40" s="40"/>
      <x:c r="D40" s="17" t="str">
        <x:v>State the conclusion and proposed next test.</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A favourable result is not automatically caused by the change. Small tests are especially vulnerable to case mix, timing and chance. Avoid both premature celebration and premature rejection; the test may have failed because the method was not usable or not actually delivered.</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A01, A02, S12  |  METHOD SOURCES: U01, R02</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30.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36" hidden="0" customWidth="1"/>
    <x:col min="2" max="2" width="16" hidden="0" customWidth="1"/>
    <x:col min="3" max="3" width="16" hidden="0" customWidth="1"/>
    <x:col min="4" max="4" width="25" hidden="0" customWidth="1"/>
    <x:col min="5" max="5" width="18" hidden="0" customWidth="1"/>
    <x:col min="6" max="6" width="20" hidden="0" customWidth="1"/>
    <x:col min="7" max="7" width="48" hidden="0" customWidth="1"/>
    <x:col min="8" max="8" width="17" hidden="0" customWidth="1"/>
    <x:col min="9" max="9" width="18" hidden="0" customWidth="1"/>
    <x:col min="10" max="10" width="30"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S02  Measure summary and percentage calculator</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Report counts, rates, percentage points and time changes without misleading comparisons.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Measure</x:v>
      </x:c>
      <x:c r="B9" s="77" t="str">
        <x:v>Before numerator</x:v>
      </x:c>
      <x:c r="C9" s="77" t="str">
        <x:v>Before denominator</x:v>
      </x:c>
      <x:c r="D9" s="77" t="str">
        <x:v>After numerator</x:v>
      </x:c>
      <x:c r="E9" s="77" t="str">
        <x:v>After denominator</x:v>
      </x:c>
      <x:c r="F9" s="77" t="str">
        <x:v>Before rate</x:v>
      </x:c>
      <x:c r="G9" s="77" t="str">
        <x:v>After rate</x:v>
      </x:c>
      <x:c r="H9" s="77" t="str">
        <x:v>Change (pp)</x:v>
      </x:c>
      <x:c r="I9" s="77" t="str">
        <x:v>Relative change</x:v>
      </x:c>
      <x:c r="J9" s="77" t="str">
        <x:v>Check</x:v>
      </x:c>
      <x:c r="K9" s="3"/>
      <x:c r="L9" s="3"/>
      <x:c r="M9" s="3"/>
      <x:c r="N9" s="3"/>
      <x:c r="O9" s="3"/>
      <x:c r="P9" s="3"/>
      <x:c r="Q9" s="3"/>
      <x:c r="R9" s="3"/>
    </x:row>
    <x:row r="10" ht="34" customHeight="1">
      <x:c r="A10" s="46"/>
      <x:c r="B10" s="46"/>
      <x:c r="C10" s="46"/>
      <x:c r="D10" s="46"/>
      <x:c r="E10" s="46"/>
      <x:c r="F10" s="90" t="str">
        <x:f>IF(J10="Valid",B10/C10,"")</x:f>
      </x:c>
      <x:c r="G10" s="90" t="str">
        <x:f>IF(J10="Valid",D10/E10,"")</x:f>
      </x:c>
      <x:c r="H10" s="92" t="str">
        <x:f>IF(J10="Valid",(G10-F10)*100,"")</x:f>
      </x:c>
      <x:c r="I10" s="90" t="str">
        <x:f>IF(J10="Valid",IF(F10=0,"Not defined",(G10-F10)/F10),"")</x:f>
      </x:c>
      <x:c r="J10" s="83" t="str">
        <x:f>IF(A10="","",IF(COUNT(B10:E10)&lt;4,"Complete four counts",IF(OR(C10&lt;=0,E10&lt;=0,B10&lt;0,D10&lt;0,B10&gt;C10,D10&gt;E10,MOD(B10,1)&lt;&gt;0,MOD(C10,1)&lt;&gt;0,MOD(D10,1)&lt;&gt;0,MOD(E10,1)&lt;&gt;0),"Invalid counts","Valid")))</x:f>
      </x:c>
      <x:c r="K10" s="3"/>
      <x:c r="L10" s="3"/>
      <x:c r="M10" s="3"/>
      <x:c r="N10" s="3"/>
      <x:c r="O10" s="3"/>
      <x:c r="P10" s="3"/>
      <x:c r="Q10" s="3"/>
      <x:c r="R10" s="3"/>
    </x:row>
    <x:row r="11" ht="34" customHeight="1">
      <x:c r="A11" s="46"/>
      <x:c r="B11" s="46"/>
      <x:c r="C11" s="46"/>
      <x:c r="D11" s="46"/>
      <x:c r="E11" s="46"/>
      <x:c r="F11" s="90" t="str">
        <x:f>IF(J11="Valid",B11/C11,"")</x:f>
      </x:c>
      <x:c r="G11" s="90" t="str">
        <x:f>IF(J11="Valid",D11/E11,"")</x:f>
      </x:c>
      <x:c r="H11" s="92" t="str">
        <x:f>IF(J11="Valid",(G11-F11)*100,"")</x:f>
      </x:c>
      <x:c r="I11" s="90" t="str">
        <x:f>IF(J11="Valid",IF(F11=0,"Not defined",(G11-F11)/F11),"")</x:f>
      </x:c>
      <x:c r="J11" s="83" t="str">
        <x:f>IF(A11="","",IF(COUNT(B11:E11)&lt;4,"Complete four counts",IF(OR(C11&lt;=0,E11&lt;=0,B11&lt;0,D11&lt;0,B11&gt;C11,D11&gt;E11,MOD(B11,1)&lt;&gt;0,MOD(C11,1)&lt;&gt;0,MOD(D11,1)&lt;&gt;0,MOD(E11,1)&lt;&gt;0),"Invalid counts","Valid")))</x:f>
      </x:c>
      <x:c r="K11" s="3"/>
      <x:c r="L11" s="3"/>
      <x:c r="M11" s="3"/>
      <x:c r="N11" s="3"/>
      <x:c r="O11" s="3"/>
      <x:c r="P11" s="3"/>
      <x:c r="Q11" s="3"/>
      <x:c r="R11" s="3"/>
    </x:row>
    <x:row r="12" ht="34" customHeight="1">
      <x:c r="A12" s="46"/>
      <x:c r="B12" s="46"/>
      <x:c r="C12" s="46"/>
      <x:c r="D12" s="46"/>
      <x:c r="E12" s="46"/>
      <x:c r="F12" s="90" t="str">
        <x:f>IF(J12="Valid",B12/C12,"")</x:f>
      </x:c>
      <x:c r="G12" s="90" t="str">
        <x:f>IF(J12="Valid",D12/E12,"")</x:f>
      </x:c>
      <x:c r="H12" s="92" t="str">
        <x:f>IF(J12="Valid",(G12-F12)*100,"")</x:f>
      </x:c>
      <x:c r="I12" s="90" t="str">
        <x:f>IF(J12="Valid",IF(F12=0,"Not defined",(G12-F12)/F12),"")</x:f>
      </x:c>
      <x:c r="J12" s="83" t="str">
        <x:f>IF(A12="","",IF(COUNT(B12:E12)&lt;4,"Complete four counts",IF(OR(C12&lt;=0,E12&lt;=0,B12&lt;0,D12&lt;0,B12&gt;C12,D12&gt;E12,MOD(B12,1)&lt;&gt;0,MOD(C12,1)&lt;&gt;0,MOD(D12,1)&lt;&gt;0,MOD(E12,1)&lt;&gt;0),"Invalid counts","Valid")))</x:f>
      </x:c>
      <x:c r="K12" s="3"/>
      <x:c r="L12" s="3"/>
      <x:c r="M12" s="3"/>
      <x:c r="N12" s="3"/>
      <x:c r="O12" s="3"/>
      <x:c r="P12" s="3"/>
      <x:c r="Q12" s="3"/>
      <x:c r="R12" s="3"/>
    </x:row>
    <x:row r="13" ht="34" customHeight="1">
      <x:c r="A13" s="46"/>
      <x:c r="B13" s="46"/>
      <x:c r="C13" s="46"/>
      <x:c r="D13" s="46"/>
      <x:c r="E13" s="46"/>
      <x:c r="F13" s="90" t="str">
        <x:f>IF(J13="Valid",B13/C13,"")</x:f>
      </x:c>
      <x:c r="G13" s="90" t="str">
        <x:f>IF(J13="Valid",D13/E13,"")</x:f>
      </x:c>
      <x:c r="H13" s="92" t="str">
        <x:f>IF(J13="Valid",(G13-F13)*100,"")</x:f>
      </x:c>
      <x:c r="I13" s="90" t="str">
        <x:f>IF(J13="Valid",IF(F13=0,"Not defined",(G13-F13)/F13),"")</x:f>
      </x:c>
      <x:c r="J13" s="83" t="str">
        <x:f>IF(A13="","",IF(COUNT(B13:E13)&lt;4,"Complete four counts",IF(OR(C13&lt;=0,E13&lt;=0,B13&lt;0,D13&lt;0,B13&gt;C13,D13&gt;E13,MOD(B13,1)&lt;&gt;0,MOD(C13,1)&lt;&gt;0,MOD(D13,1)&lt;&gt;0,MOD(E13,1)&lt;&gt;0),"Invalid counts","Valid")))</x:f>
      </x:c>
      <x:c r="K13" s="3"/>
      <x:c r="L13" s="3"/>
      <x:c r="M13" s="3"/>
      <x:c r="N13" s="3"/>
      <x:c r="O13" s="3"/>
      <x:c r="P13" s="3"/>
      <x:c r="Q13" s="3"/>
      <x:c r="R13" s="3"/>
    </x:row>
    <x:row r="14" ht="34" customHeight="1">
      <x:c r="A14" s="46"/>
      <x:c r="B14" s="46"/>
      <x:c r="C14" s="46"/>
      <x:c r="D14" s="46"/>
      <x:c r="E14" s="46"/>
      <x:c r="F14" s="90" t="str">
        <x:f>IF(J14="Valid",B14/C14,"")</x:f>
      </x:c>
      <x:c r="G14" s="90" t="str">
        <x:f>IF(J14="Valid",D14/E14,"")</x:f>
      </x:c>
      <x:c r="H14" s="92" t="str">
        <x:f>IF(J14="Valid",(G14-F14)*100,"")</x:f>
      </x:c>
      <x:c r="I14" s="90" t="str">
        <x:f>IF(J14="Valid",IF(F14=0,"Not defined",(G14-F14)/F14),"")</x:f>
      </x:c>
      <x:c r="J14" s="83" t="str">
        <x:f>IF(A14="","",IF(COUNT(B14:E14)&lt;4,"Complete four counts",IF(OR(C14&lt;=0,E14&lt;=0,B14&lt;0,D14&lt;0,B14&gt;C14,D14&gt;E14,MOD(B14,1)&lt;&gt;0,MOD(C14,1)&lt;&gt;0,MOD(D14,1)&lt;&gt;0,MOD(E14,1)&lt;&gt;0),"Invalid counts","Valid")))</x:f>
      </x:c>
      <x:c r="K14" s="3"/>
      <x:c r="L14" s="3"/>
      <x:c r="M14" s="3"/>
      <x:c r="N14" s="3"/>
      <x:c r="O14" s="3"/>
      <x:c r="P14" s="3"/>
      <x:c r="Q14" s="3"/>
      <x:c r="R14" s="3"/>
    </x:row>
    <x:row r="15" ht="34" customHeight="1">
      <x:c r="A15" s="46"/>
      <x:c r="B15" s="46"/>
      <x:c r="C15" s="46"/>
      <x:c r="D15" s="46"/>
      <x:c r="E15" s="46"/>
      <x:c r="F15" s="90" t="str">
        <x:f>IF(J15="Valid",B15/C15,"")</x:f>
      </x:c>
      <x:c r="G15" s="90" t="str">
        <x:f>IF(J15="Valid",D15/E15,"")</x:f>
      </x:c>
      <x:c r="H15" s="92" t="str">
        <x:f>IF(J15="Valid",(G15-F15)*100,"")</x:f>
      </x:c>
      <x:c r="I15" s="90" t="str">
        <x:f>IF(J15="Valid",IF(F15=0,"Not defined",(G15-F15)/F15),"")</x:f>
      </x:c>
      <x:c r="J15" s="83" t="str">
        <x:f>IF(A15="","",IF(COUNT(B15:E15)&lt;4,"Complete four counts",IF(OR(C15&lt;=0,E15&lt;=0,B15&lt;0,D15&lt;0,B15&gt;C15,D15&gt;E15,MOD(B15,1)&lt;&gt;0,MOD(C15,1)&lt;&gt;0,MOD(D15,1)&lt;&gt;0,MOD(E15,1)&lt;&gt;0),"Invalid counts","Valid")))</x:f>
      </x:c>
      <x:c r="K15" s="3"/>
      <x:c r="L15" s="3"/>
      <x:c r="M15" s="3"/>
      <x:c r="N15" s="3"/>
      <x:c r="O15" s="3"/>
      <x:c r="P15" s="3"/>
      <x:c r="Q15" s="3"/>
      <x:c r="R15" s="3"/>
    </x:row>
    <x:row r="16" ht="34" customHeight="1">
      <x:c r="A16" s="46"/>
      <x:c r="B16" s="46"/>
      <x:c r="C16" s="46"/>
      <x:c r="D16" s="46"/>
      <x:c r="E16" s="46"/>
      <x:c r="F16" s="90" t="str">
        <x:f>IF(J16="Valid",B16/C16,"")</x:f>
      </x:c>
      <x:c r="G16" s="90" t="str">
        <x:f>IF(J16="Valid",D16/E16,"")</x:f>
      </x:c>
      <x:c r="H16" s="92" t="str">
        <x:f>IF(J16="Valid",(G16-F16)*100,"")</x:f>
      </x:c>
      <x:c r="I16" s="90" t="str">
        <x:f>IF(J16="Valid",IF(F16=0,"Not defined",(G16-F16)/F16),"")</x:f>
      </x:c>
      <x:c r="J16" s="83" t="str">
        <x:f>IF(A16="","",IF(COUNT(B16:E16)&lt;4,"Complete four counts",IF(OR(C16&lt;=0,E16&lt;=0,B16&lt;0,D16&lt;0,B16&gt;C16,D16&gt;E16,MOD(B16,1)&lt;&gt;0,MOD(C16,1)&lt;&gt;0,MOD(D16,1)&lt;&gt;0,MOD(E16,1)&lt;&gt;0),"Invalid counts","Valid")))</x:f>
      </x:c>
      <x:c r="K16" s="3"/>
      <x:c r="L16" s="3"/>
      <x:c r="M16" s="3"/>
      <x:c r="N16" s="3"/>
      <x:c r="O16" s="3"/>
      <x:c r="P16" s="3"/>
      <x:c r="Q16" s="3"/>
      <x:c r="R16" s="3"/>
    </x:row>
    <x:row r="17" ht="34" customHeight="1">
      <x:c r="A17" s="46"/>
      <x:c r="B17" s="46"/>
      <x:c r="C17" s="46"/>
      <x:c r="D17" s="46"/>
      <x:c r="E17" s="46"/>
      <x:c r="F17" s="90" t="str">
        <x:f>IF(J17="Valid",B17/C17,"")</x:f>
      </x:c>
      <x:c r="G17" s="90" t="str">
        <x:f>IF(J17="Valid",D17/E17,"")</x:f>
      </x:c>
      <x:c r="H17" s="92" t="str">
        <x:f>IF(J17="Valid",(G17-F17)*100,"")</x:f>
      </x:c>
      <x:c r="I17" s="90" t="str">
        <x:f>IF(J17="Valid",IF(F17=0,"Not defined",(G17-F17)/F17),"")</x:f>
      </x:c>
      <x:c r="J17" s="83" t="str">
        <x:f>IF(A17="","",IF(COUNT(B17:E17)&lt;4,"Complete four counts",IF(OR(C17&lt;=0,E17&lt;=0,B17&lt;0,D17&lt;0,B17&gt;C17,D17&gt;E17,MOD(B17,1)&lt;&gt;0,MOD(C17,1)&lt;&gt;0,MOD(D17,1)&lt;&gt;0,MOD(E17,1)&lt;&gt;0),"Invalid counts","Valid")))</x:f>
      </x:c>
      <x:c r="K17" s="3"/>
      <x:c r="L17" s="3"/>
      <x:c r="M17" s="3"/>
      <x:c r="N17" s="3"/>
      <x:c r="O17" s="3"/>
      <x:c r="P17" s="3"/>
      <x:c r="Q17" s="3"/>
      <x:c r="R17" s="3"/>
    </x:row>
    <x:row r="18" ht="34" customHeight="1">
      <x:c r="A18" s="46"/>
      <x:c r="B18" s="46"/>
      <x:c r="C18" s="46"/>
      <x:c r="D18" s="46"/>
      <x:c r="E18" s="46"/>
      <x:c r="F18" s="90" t="str">
        <x:f>IF(J18="Valid",B18/C18,"")</x:f>
      </x:c>
      <x:c r="G18" s="90" t="str">
        <x:f>IF(J18="Valid",D18/E18,"")</x:f>
      </x:c>
      <x:c r="H18" s="92" t="str">
        <x:f>IF(J18="Valid",(G18-F18)*100,"")</x:f>
      </x:c>
      <x:c r="I18" s="90" t="str">
        <x:f>IF(J18="Valid",IF(F18=0,"Not defined",(G18-F18)/F18),"")</x:f>
      </x:c>
      <x:c r="J18" s="83" t="str">
        <x:f>IF(A18="","",IF(COUNT(B18:E18)&lt;4,"Complete four counts",IF(OR(C18&lt;=0,E18&lt;=0,B18&lt;0,D18&lt;0,B18&gt;C18,D18&gt;E18,MOD(B18,1)&lt;&gt;0,MOD(C18,1)&lt;&gt;0,MOD(D18,1)&lt;&gt;0,MOD(E18,1)&lt;&gt;0),"Invalid counts","Valid")))</x:f>
      </x:c>
      <x:c r="K18" s="3"/>
      <x:c r="L18" s="3"/>
      <x:c r="M18" s="3"/>
      <x:c r="N18" s="3"/>
      <x:c r="O18" s="3"/>
      <x:c r="P18" s="3"/>
      <x:c r="Q18" s="3"/>
      <x:c r="R18" s="3"/>
    </x:row>
    <x:row r="19" ht="34" customHeight="1">
      <x:c r="A19" s="46"/>
      <x:c r="B19" s="46"/>
      <x:c r="C19" s="46"/>
      <x:c r="D19" s="46"/>
      <x:c r="E19" s="46"/>
      <x:c r="F19" s="90" t="str">
        <x:f>IF(J19="Valid",B19/C19,"")</x:f>
      </x:c>
      <x:c r="G19" s="90" t="str">
        <x:f>IF(J19="Valid",D19/E19,"")</x:f>
      </x:c>
      <x:c r="H19" s="92" t="str">
        <x:f>IF(J19="Valid",(G19-F19)*100,"")</x:f>
      </x:c>
      <x:c r="I19" s="90" t="str">
        <x:f>IF(J19="Valid",IF(F19=0,"Not defined",(G19-F19)/F19),"")</x:f>
      </x:c>
      <x:c r="J19" s="83" t="str">
        <x:f>IF(A19="","",IF(COUNT(B19:E19)&lt;4,"Complete four counts",IF(OR(C19&lt;=0,E19&lt;=0,B19&lt;0,D19&lt;0,B19&gt;C19,D19&gt;E19,MOD(B19,1)&lt;&gt;0,MOD(C19,1)&lt;&gt;0,MOD(D19,1)&lt;&gt;0,MOD(E19,1)&lt;&gt;0),"Invalid counts","Valid")))</x:f>
      </x:c>
      <x:c r="K19" s="3"/>
      <x:c r="L19" s="3"/>
      <x:c r="M19" s="3"/>
      <x:c r="N19" s="3"/>
      <x:c r="O19" s="3"/>
      <x:c r="P19" s="3"/>
      <x:c r="Q19" s="3"/>
      <x:c r="R19" s="3"/>
    </x:row>
    <x:row r="20" ht="34" customHeight="1">
      <x:c r="A20" s="46"/>
      <x:c r="B20" s="46"/>
      <x:c r="C20" s="46"/>
      <x:c r="D20" s="46"/>
      <x:c r="E20" s="46"/>
      <x:c r="F20" s="90" t="str">
        <x:f>IF(J20="Valid",B20/C20,"")</x:f>
      </x:c>
      <x:c r="G20" s="90" t="str">
        <x:f>IF(J20="Valid",D20/E20,"")</x:f>
      </x:c>
      <x:c r="H20" s="92" t="str">
        <x:f>IF(J20="Valid",(G20-F20)*100,"")</x:f>
      </x:c>
      <x:c r="I20" s="90" t="str">
        <x:f>IF(J20="Valid",IF(F20=0,"Not defined",(G20-F20)/F20),"")</x:f>
      </x:c>
      <x:c r="J20" s="83" t="str">
        <x:f>IF(A20="","",IF(COUNT(B20:E20)&lt;4,"Complete four counts",IF(OR(C20&lt;=0,E20&lt;=0,B20&lt;0,D20&lt;0,B20&gt;C20,D20&gt;E20,MOD(B20,1)&lt;&gt;0,MOD(C20,1)&lt;&gt;0,MOD(D20,1)&lt;&gt;0,MOD(E20,1)&lt;&gt;0),"Invalid counts","Valid")))</x:f>
      </x:c>
      <x:c r="K20" s="3"/>
      <x:c r="L20" s="3"/>
      <x:c r="M20" s="3"/>
      <x:c r="N20" s="3"/>
      <x:c r="O20" s="3"/>
      <x:c r="P20" s="3"/>
      <x:c r="Q20" s="3"/>
      <x:c r="R20" s="3"/>
    </x:row>
    <x:row r="21" ht="34" customHeight="1">
      <x:c r="A21" s="46"/>
      <x:c r="B21" s="46"/>
      <x:c r="C21" s="46"/>
      <x:c r="D21" s="46"/>
      <x:c r="E21" s="46"/>
      <x:c r="F21" s="90" t="str">
        <x:f>IF(J21="Valid",B21/C21,"")</x:f>
      </x:c>
      <x:c r="G21" s="90" t="str">
        <x:f>IF(J21="Valid",D21/E21,"")</x:f>
      </x:c>
      <x:c r="H21" s="92" t="str">
        <x:f>IF(J21="Valid",(G21-F21)*100,"")</x:f>
      </x:c>
      <x:c r="I21" s="90" t="str">
        <x:f>IF(J21="Valid",IF(F21=0,"Not defined",(G21-F21)/F21),"")</x:f>
      </x:c>
      <x:c r="J21" s="83" t="str">
        <x:f>IF(A21="","",IF(COUNT(B21:E21)&lt;4,"Complete four counts",IF(OR(C21&lt;=0,E21&lt;=0,B21&lt;0,D21&lt;0,B21&gt;C21,D21&gt;E21,MOD(B21,1)&lt;&gt;0,MOD(C21,1)&lt;&gt;0,MOD(D21,1)&lt;&gt;0,MOD(E21,1)&lt;&gt;0),"Invalid counts","Valid")))</x:f>
      </x:c>
      <x:c r="K21" s="3"/>
      <x:c r="L21" s="3"/>
      <x:c r="M21" s="3"/>
      <x:c r="N21" s="3"/>
      <x:c r="O21" s="3"/>
      <x:c r="P21" s="3"/>
      <x:c r="Q21" s="3"/>
      <x:c r="R21" s="3"/>
    </x:row>
    <x:row r="22" ht="20" customHeight="1">
      <x:c r="A22" s="3"/>
      <x:c r="B22" s="3"/>
      <x:c r="C22" s="3"/>
      <x:c r="D22" s="3"/>
      <x:c r="E22" s="3"/>
      <x:c r="F22" s="3"/>
      <x:c r="G22" s="3"/>
      <x:c r="H22" s="3"/>
      <x:c r="I22" s="3"/>
      <x:c r="J22" s="3"/>
      <x:c r="K22" s="3"/>
      <x:c r="L22" s="3"/>
      <x:c r="M22" s="3"/>
      <x:c r="N22" s="3"/>
      <x:c r="O22" s="3"/>
      <x:c r="P22" s="3"/>
      <x:c r="Q22" s="3"/>
      <x:c r="R22" s="3"/>
    </x:row>
    <x:row r="23" ht="20" customHeight="1">
      <x:c r="A23" s="3"/>
      <x:c r="B23" s="3"/>
      <x:c r="C23" s="3"/>
      <x:c r="D23" s="3"/>
      <x:c r="E23" s="3"/>
      <x:c r="F23" s="3"/>
      <x:c r="G23" s="3"/>
      <x:c r="H23" s="3"/>
      <x:c r="I23" s="3"/>
      <x:c r="J23" s="3"/>
      <x:c r="K23" s="3"/>
      <x:c r="L23" s="3"/>
      <x:c r="M23" s="3"/>
      <x:c r="N23" s="3"/>
      <x:c r="O23" s="3"/>
      <x:c r="P23" s="3"/>
      <x:c r="Q23" s="3"/>
      <x:c r="R23" s="3"/>
    </x:row>
    <x:row r="24" ht="20" customHeight="1">
      <x:c r="A24" s="3"/>
      <x:c r="B24" s="3"/>
      <x:c r="C24" s="3"/>
      <x:c r="D24" s="3"/>
      <x:c r="E24" s="3"/>
      <x:c r="F24" s="3"/>
      <x:c r="G24" s="3"/>
      <x:c r="H24" s="3"/>
      <x:c r="I24" s="3"/>
      <x:c r="J24" s="3"/>
      <x:c r="K24" s="3"/>
      <x:c r="L24" s="3"/>
      <x:c r="M24" s="3"/>
      <x:c r="N24" s="3"/>
      <x:c r="O24" s="3"/>
      <x:c r="P24" s="3"/>
      <x:c r="Q24" s="3"/>
      <x:c r="R24" s="3"/>
    </x:row>
    <x:row r="25" ht="20" customHeight="1">
      <x:c r="A25" s="3"/>
      <x:c r="B25" s="3"/>
      <x:c r="C25" s="3"/>
      <x:c r="D25" s="3"/>
      <x:c r="E25" s="3"/>
      <x:c r="F25" s="3"/>
      <x:c r="G25" s="3"/>
      <x:c r="H25" s="3"/>
      <x:c r="I25" s="3"/>
      <x:c r="J25" s="3"/>
      <x:c r="K25" s="3"/>
      <x:c r="L25" s="3"/>
      <x:c r="M25" s="3"/>
      <x:c r="N25" s="3"/>
      <x:c r="O25" s="3"/>
      <x:c r="P25" s="3"/>
      <x:c r="Q25" s="3"/>
      <x:c r="R25" s="3"/>
    </x:row>
    <x:row r="26" ht="38" customHeight="1">
      <x:c r="A26" s="77" t="str">
        <x:v>Time / continuous statistic</x:v>
      </x:c>
      <x:c r="B26" s="77" t="str">
        <x:v>Before</x:v>
      </x:c>
      <x:c r="C26" s="77" t="str">
        <x:v>After</x:v>
      </x:c>
      <x:c r="D26" s="77" t="str">
        <x:v>Unit / statistic</x:v>
      </x:c>
      <x:c r="E26" s="77" t="str">
        <x:v>Difference</x:v>
      </x:c>
      <x:c r="F26" s="77" t="str">
        <x:v>Relative change</x:v>
      </x:c>
      <x:c r="G26" s="77" t="str">
        <x:v>Interpretation</x:v>
      </x:c>
      <x:c r="H26" s="3"/>
      <x:c r="I26" s="3"/>
      <x:c r="J26" s="3"/>
      <x:c r="K26" s="3"/>
      <x:c r="L26" s="3"/>
      <x:c r="M26" s="3"/>
      <x:c r="N26" s="3"/>
      <x:c r="O26" s="3"/>
      <x:c r="P26" s="3"/>
      <x:c r="Q26" s="3"/>
      <x:c r="R26" s="3"/>
    </x:row>
    <x:row r="27" ht="34" customHeight="1">
      <x:c r="A27" s="46"/>
      <x:c r="B27" s="46"/>
      <x:c r="C27" s="46"/>
      <x:c r="D27" s="46"/>
      <x:c r="E27" s="83" t="str">
        <x:f>IF(A27="","",IF(COUNT(B27:C27)=2,C27-B27,""))</x:f>
      </x:c>
      <x:c r="F27" s="90" t="str">
        <x:f>IF(A27="","",IF(COUNT(B27:C27)=2,IF(B27=0,"Not defined",(C27-B27)/B27),""))</x:f>
      </x:c>
      <x:c r="G27" s="46"/>
      <x:c r="H27" s="3"/>
      <x:c r="I27" s="3"/>
      <x:c r="J27" s="3"/>
      <x:c r="K27" s="3"/>
      <x:c r="L27" s="3"/>
      <x:c r="M27" s="3"/>
      <x:c r="N27" s="3"/>
      <x:c r="O27" s="3"/>
      <x:c r="P27" s="3"/>
      <x:c r="Q27" s="3"/>
      <x:c r="R27" s="3"/>
    </x:row>
    <x:row r="28" ht="34" customHeight="1">
      <x:c r="A28" s="46"/>
      <x:c r="B28" s="46"/>
      <x:c r="C28" s="46"/>
      <x:c r="D28" s="46"/>
      <x:c r="E28" s="83" t="str">
        <x:f>IF(A28="","",IF(COUNT(B28:C28)=2,C28-B28,""))</x:f>
      </x:c>
      <x:c r="F28" s="90" t="str">
        <x:f>IF(A28="","",IF(COUNT(B28:C28)=2,IF(B28=0,"Not defined",(C28-B28)/B28),""))</x:f>
      </x:c>
      <x:c r="G28" s="46"/>
      <x:c r="H28" s="3"/>
      <x:c r="I28" s="3"/>
      <x:c r="J28" s="3"/>
      <x:c r="K28" s="3"/>
      <x:c r="L28" s="3"/>
      <x:c r="M28" s="3"/>
      <x:c r="N28" s="3"/>
      <x:c r="O28" s="3"/>
      <x:c r="P28" s="3"/>
      <x:c r="Q28" s="3"/>
      <x:c r="R28" s="3"/>
    </x:row>
    <x:row r="29" ht="34" customHeight="1">
      <x:c r="A29" s="46"/>
      <x:c r="B29" s="46"/>
      <x:c r="C29" s="46"/>
      <x:c r="D29" s="46"/>
      <x:c r="E29" s="83" t="str">
        <x:f>IF(A29="","",IF(COUNT(B29:C29)=2,C29-B29,""))</x:f>
      </x:c>
      <x:c r="F29" s="90" t="str">
        <x:f>IF(A29="","",IF(COUNT(B29:C29)=2,IF(B29=0,"Not defined",(C29-B29)/B29),""))</x:f>
      </x:c>
      <x:c r="G29" s="46"/>
      <x:c r="H29" s="3"/>
      <x:c r="I29" s="3"/>
      <x:c r="J29" s="3"/>
      <x:c r="K29" s="3"/>
      <x:c r="L29" s="3"/>
      <x:c r="M29" s="3"/>
      <x:c r="N29" s="3"/>
      <x:c r="O29" s="3"/>
      <x:c r="P29" s="3"/>
      <x:c r="Q29" s="3"/>
      <x:c r="R29" s="3"/>
    </x:row>
    <x:row r="30" ht="34" customHeight="1">
      <x:c r="A30" s="46"/>
      <x:c r="B30" s="46"/>
      <x:c r="C30" s="46"/>
      <x:c r="D30" s="46"/>
      <x:c r="E30" s="83" t="str">
        <x:f>IF(A30="","",IF(COUNT(B30:C30)=2,C30-B30,""))</x:f>
      </x:c>
      <x:c r="F30" s="90" t="str">
        <x:f>IF(A30="","",IF(COUNT(B30:C30)=2,IF(B30=0,"Not defined",(C30-B30)/B30),""))</x:f>
      </x:c>
      <x:c r="G30" s="46"/>
      <x:c r="H30" s="3"/>
      <x:c r="I30" s="3"/>
      <x:c r="J30" s="3"/>
      <x:c r="K30" s="3"/>
      <x:c r="L30" s="3"/>
      <x:c r="M30" s="3"/>
      <x:c r="N30" s="3"/>
      <x:c r="O30" s="3"/>
      <x:c r="P30" s="3"/>
      <x:c r="Q30" s="3"/>
      <x:c r="R30" s="3"/>
    </x:row>
    <x:row r="31" ht="34" customHeight="1">
      <x:c r="A31" s="46"/>
      <x:c r="B31" s="46"/>
      <x:c r="C31" s="46"/>
      <x:c r="D31" s="46"/>
      <x:c r="E31" s="83" t="str">
        <x:f>IF(A31="","",IF(COUNT(B31:C31)=2,C31-B31,""))</x:f>
      </x:c>
      <x:c r="F31" s="90" t="str">
        <x:f>IF(A31="","",IF(COUNT(B31:C31)=2,IF(B31=0,"Not defined",(C31-B31)/B31),""))</x:f>
      </x:c>
      <x:c r="G31" s="46"/>
      <x:c r="H31" s="3"/>
      <x:c r="I31" s="3"/>
      <x:c r="J31" s="3"/>
      <x:c r="K31" s="3"/>
      <x:c r="L31" s="3"/>
      <x:c r="M31" s="3"/>
      <x:c r="N31" s="3"/>
      <x:c r="O31" s="3"/>
      <x:c r="P31" s="3"/>
      <x:c r="Q31" s="3"/>
      <x:c r="R31" s="3"/>
    </x:row>
    <x:row r="32" ht="34" customHeight="1">
      <x:c r="A32" s="46"/>
      <x:c r="B32" s="46"/>
      <x:c r="C32" s="46"/>
      <x:c r="D32" s="46"/>
      <x:c r="E32" s="83" t="str">
        <x:f>IF(A32="","",IF(COUNT(B32:C32)=2,C32-B32,""))</x:f>
      </x:c>
      <x:c r="F32" s="90" t="str">
        <x:f>IF(A32="","",IF(COUNT(B32:C32)=2,IF(B32=0,"Not defined",(C32-B32)/B32),""))</x:f>
      </x:c>
      <x:c r="G32" s="46"/>
      <x:c r="H32" s="3"/>
      <x:c r="I32" s="3"/>
      <x:c r="J32" s="3"/>
      <x:c r="K32" s="3"/>
      <x:c r="L32" s="3"/>
      <x:c r="M32" s="3"/>
      <x:c r="N32" s="3"/>
      <x:c r="O32" s="3"/>
      <x:c r="P32" s="3"/>
      <x:c r="Q32" s="3"/>
      <x:c r="R32" s="3"/>
    </x:row>
    <x:row r="33" ht="34" customHeight="1">
      <x:c r="A33" s="46"/>
      <x:c r="B33" s="46"/>
      <x:c r="C33" s="46"/>
      <x:c r="D33" s="46"/>
      <x:c r="E33" s="83" t="str">
        <x:f>IF(A33="","",IF(COUNT(B33:C33)=2,C33-B33,""))</x:f>
      </x:c>
      <x:c r="F33" s="90" t="str">
        <x:f>IF(A33="","",IF(COUNT(B33:C33)=2,IF(B33=0,"Not defined",(C33-B33)/B33),""))</x:f>
      </x:c>
      <x:c r="G33" s="46"/>
      <x:c r="H33" s="3"/>
      <x:c r="I33" s="3"/>
      <x:c r="J33" s="3"/>
      <x:c r="K33" s="3"/>
      <x:c r="L33" s="3"/>
      <x:c r="M33" s="3"/>
      <x:c r="N33" s="3"/>
      <x:c r="O33" s="3"/>
      <x:c r="P33" s="3"/>
      <x:c r="Q33" s="3"/>
      <x:c r="R33" s="3"/>
    </x:row>
    <x:row r="34" ht="34" customHeight="1">
      <x:c r="A34" s="46"/>
      <x:c r="B34" s="46"/>
      <x:c r="C34" s="46"/>
      <x:c r="D34" s="46"/>
      <x:c r="E34" s="83" t="str">
        <x:f>IF(A34="","",IF(COUNT(B34:C34)=2,C34-B34,""))</x:f>
      </x:c>
      <x:c r="F34" s="90" t="str">
        <x:f>IF(A34="","",IF(COUNT(B34:C34)=2,IF(B34=0,"Not defined",(C34-B34)/B34),""))</x:f>
      </x:c>
      <x:c r="G34" s="46"/>
      <x:c r="H34" s="3"/>
      <x:c r="I34" s="3"/>
      <x:c r="J34" s="3"/>
      <x:c r="K34" s="3"/>
      <x:c r="L34" s="3"/>
      <x:c r="M34" s="3"/>
      <x:c r="N34" s="3"/>
      <x:c r="O34" s="3"/>
      <x:c r="P34" s="3"/>
      <x:c r="Q34" s="3"/>
      <x:c r="R34" s="3"/>
    </x:row>
    <x:row r="35" ht="20" customHeight="1">
      <x:c r="A35" s="3"/>
      <x:c r="B35" s="3"/>
      <x:c r="C35" s="3"/>
      <x:c r="D35" s="3"/>
      <x:c r="E35" s="3"/>
      <x:c r="F35" s="3"/>
      <x:c r="G35" s="3"/>
      <x:c r="H35" s="3"/>
      <x:c r="I35" s="3"/>
      <x:c r="J35" s="3"/>
      <x:c r="K35" s="3"/>
      <x:c r="L35" s="3"/>
      <x:c r="M35" s="3"/>
      <x:c r="N35" s="3"/>
      <x:c r="O35" s="3"/>
      <x:c r="P35" s="3"/>
      <x:c r="Q35" s="3"/>
      <x:c r="R35" s="3"/>
    </x:row>
    <x:row r="36" ht="20" customHeight="1">
      <x:c r="A36" s="3"/>
      <x:c r="B36" s="3"/>
      <x:c r="C36" s="3"/>
      <x:c r="D36" s="3"/>
      <x:c r="E36" s="3"/>
      <x:c r="F36" s="3"/>
      <x:c r="G36" s="3"/>
      <x:c r="H36" s="3"/>
      <x:c r="I36" s="3"/>
      <x:c r="J36" s="3"/>
      <x:c r="K36" s="3"/>
      <x:c r="L36" s="3"/>
      <x:c r="M36" s="3"/>
      <x:c r="N36" s="3"/>
      <x:c r="O36" s="3"/>
      <x:c r="P36" s="3"/>
      <x:c r="Q36" s="3"/>
      <x:c r="R36" s="3"/>
    </x:row>
    <x:row r="37" ht="20" customHeight="1">
      <x:c r="A37" s="3"/>
      <x:c r="B37" s="3"/>
      <x:c r="C37" s="3"/>
      <x:c r="D37" s="3"/>
      <x:c r="E37" s="3"/>
      <x:c r="F37" s="3"/>
      <x:c r="G37" s="3"/>
      <x:c r="H37" s="3"/>
      <x:c r="I37" s="3"/>
      <x:c r="J37" s="3"/>
      <x:c r="K37" s="3"/>
      <x:c r="L37" s="3"/>
      <x:c r="M37" s="3"/>
      <x:c r="N37" s="3"/>
      <x:c r="O37" s="3"/>
      <x:c r="P37" s="3"/>
      <x:c r="Q37" s="3"/>
      <x:c r="R37" s="3"/>
    </x:row>
    <x:row r="38" ht="20" customHeight="1">
      <x:c r="A38" s="3"/>
      <x:c r="B38" s="3"/>
      <x:c r="C38" s="3"/>
      <x:c r="D38" s="3"/>
      <x:c r="E38" s="3"/>
      <x:c r="F38" s="3"/>
      <x:c r="G38" s="3"/>
      <x:c r="H38" s="3"/>
      <x:c r="I38" s="3"/>
      <x:c r="J38" s="3"/>
      <x:c r="K38" s="3"/>
      <x:c r="L38" s="3"/>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20" customHeight="1">
      <x:c r="A42" s="3"/>
      <x:c r="B42" s="3"/>
      <x:c r="C42" s="3"/>
      <x:c r="D42" s="3"/>
      <x:c r="E42" s="3"/>
      <x:c r="F42" s="3"/>
      <x:c r="G42" s="3"/>
      <x:c r="H42" s="3"/>
      <x:c r="I42" s="3"/>
      <x:c r="J42" s="3"/>
      <x:c r="K42" s="3"/>
      <x:c r="L42" s="3"/>
      <x:c r="M42" s="3"/>
      <x:c r="N42" s="3"/>
      <x:c r="O42" s="3"/>
      <x:c r="P42" s="3"/>
      <x:c r="Q42" s="3"/>
      <x:c r="R42" s="3"/>
    </x:row>
    <x:row r="43" ht="20" customHeight="1">
      <x:c r="A43" s="3"/>
      <x:c r="B43" s="3"/>
      <x:c r="C43" s="3"/>
      <x:c r="D43" s="3"/>
      <x:c r="E43" s="3"/>
      <x:c r="F43" s="3"/>
      <x:c r="G43" s="3"/>
      <x:c r="H43" s="3"/>
      <x:c r="I43" s="3"/>
      <x:c r="J43" s="3"/>
      <x:c r="K43" s="3"/>
      <x:c r="L43" s="3"/>
      <x:c r="M43" s="3"/>
      <x:c r="N43" s="3"/>
      <x:c r="O43" s="3"/>
      <x:c r="P43" s="3"/>
      <x:c r="Q43" s="3"/>
      <x:c r="R43" s="3"/>
    </x:row>
    <x:row r="44" ht="20" customHeight="1">
      <x:c r="A44" s="3"/>
      <x:c r="B44" s="3"/>
      <x:c r="C44" s="3"/>
      <x:c r="D44" s="3"/>
      <x:c r="E44" s="3"/>
      <x:c r="F44" s="3"/>
      <x:c r="G44" s="3"/>
      <x:c r="H44" s="3"/>
      <x:c r="I44" s="3"/>
      <x:c r="J44" s="3"/>
      <x:c r="K44" s="3"/>
      <x:c r="L44" s="3"/>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3"/>
      <x:c r="B47" s="3"/>
      <x:c r="C47" s="3"/>
      <x:c r="D47" s="3"/>
      <x:c r="E47" s="3"/>
      <x:c r="F47" s="3"/>
      <x:c r="G47" s="3"/>
      <x:c r="H47" s="3"/>
      <x:c r="I47" s="3"/>
      <x:c r="J47" s="3"/>
      <x:c r="K47" s="3"/>
      <x:c r="L47" s="3"/>
      <x:c r="M47" s="3"/>
      <x:c r="N47" s="3"/>
      <x:c r="O47" s="3"/>
      <x:c r="P47" s="3"/>
      <x:c r="Q47" s="3"/>
      <x:c r="R47" s="3"/>
    </x:row>
    <x:row r="48" ht="20" customHeight="1">
      <x:c r="A48" s="3"/>
      <x:c r="B48" s="3"/>
      <x:c r="C48" s="3"/>
      <x:c r="D48" s="3"/>
      <x:c r="E48" s="3"/>
      <x:c r="F48" s="3"/>
      <x:c r="G48" s="3"/>
      <x:c r="H48" s="3"/>
      <x:c r="I48" s="3"/>
      <x:c r="J48" s="3"/>
      <x:c r="K48" s="3"/>
      <x:c r="L48" s="3"/>
      <x:c r="M48" s="3"/>
      <x:c r="N48" s="3"/>
      <x:c r="O48" s="3"/>
      <x:c r="P48" s="3"/>
      <x:c r="Q48" s="3"/>
      <x:c r="R48" s="3"/>
    </x:row>
    <x:row r="49" ht="20" customHeight="1">
      <x:c r="A49" s="3"/>
      <x:c r="B49" s="3"/>
      <x:c r="C49" s="3"/>
      <x:c r="D49" s="3"/>
      <x:c r="E49" s="3"/>
      <x:c r="F49" s="3"/>
      <x:c r="G49" s="3"/>
      <x:c r="H49" s="3"/>
      <x:c r="I49" s="3"/>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S02</x:v>
      </x:c>
      <x:c r="B110" s="34"/>
      <x:c r="C110" s="34"/>
      <x:c r="D110" s="34"/>
      <x:c r="E110" s="34"/>
      <x:c r="F110" s="34"/>
      <x:c r="G110" s="34"/>
      <x:c r="H110" s="34"/>
      <x:c r="I110" s="34"/>
      <x:c r="J110" s="34"/>
      <x:c r="K110" s="34"/>
      <x:c r="L110" s="34"/>
      <x:c r="M110" s="3"/>
      <x:c r="N110" s="3"/>
      <x:c r="O110" s="3"/>
      <x:c r="P110" s="3"/>
      <x:c r="Q110" s="3"/>
      <x:c r="R110" s="3"/>
    </x:row>
    <x:row r="111" ht="20" customHeight="1">
      <x:c r="A111" s="40" t="str">
        <x:v>01  Comparison definition</x:v>
      </x:c>
      <x:c r="B111" s="40"/>
      <x:c r="C111" s="40"/>
      <x:c r="D111" s="17" t="str">
        <x:v>State periods, versions and eligible populations.</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Counts and rates</x:v>
      </x:c>
      <x:c r="B117" s="40"/>
      <x:c r="C117" s="40"/>
      <x:c r="D117" s="17" t="str">
        <x:v>Record numerator, denominator and valid percentage.</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Absolute change</x:v>
      </x:c>
      <x:c r="B123" s="40"/>
      <x:c r="C123" s="40"/>
      <x:c r="D123" s="17" t="str">
        <x:v>Calculate percentage-point or unit difference.</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Relative change</x:v>
      </x:c>
      <x:c r="B129" s="40"/>
      <x:c r="C129" s="40"/>
      <x:c r="D129" s="17" t="str">
        <x:v>Calculate only where the baseline permits it.</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Distribution and missingness</x:v>
      </x:c>
      <x:c r="B135" s="40"/>
      <x:c r="C135" s="40"/>
      <x:c r="D135" s="17" t="str">
        <x:v>State what summary statistics hide.</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Interpretation and decision</x:v>
      </x:c>
      <x:c r="B141" s="40"/>
      <x:c r="C141" s="40"/>
      <x:c r="D141" s="17" t="str">
        <x:v>Explain what the evidence supports.</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Never use the average of group percentages when denominators differ. A zero denominator means not calculable, not 0%. Do not pool changing test versions and call the result a stable service rate. Report the sample and the process conditions alongside every headline.</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S03, S09, S11, A01  |  METHOD SOURCES: U01, R03</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s>
  <x:pageMargins left="0.7" right="0.7" top="0.75" bottom="0.75" header="0.3" footer="0.3"/>
</x:worksheet>
</file>

<file path=xl/worksheets/sheet31.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0" hidden="0" customWidth="1"/>
    <x:col min="2" max="2" width="15" hidden="0" customWidth="1"/>
    <x:col min="3" max="3" width="19" hidden="0" customWidth="1"/>
    <x:col min="4" max="4" width="15" hidden="0" customWidth="1"/>
    <x:col min="5" max="5" width="10" hidden="0" customWidth="1"/>
    <x:col min="6" max="6" width="13" hidden="0" customWidth="1"/>
    <x:col min="7" max="7" width="12" hidden="0" customWidth="1"/>
    <x:col min="8" max="8" width="13" hidden="0" customWidth="1"/>
    <x:col min="9" max="9" width="15" hidden="0" customWidth="1"/>
    <x:col min="10" max="10" width="42" hidden="0" customWidth="1"/>
    <x:col min="11" max="11" width="31" hidden="0" customWidth="1"/>
    <x:col min="12" max="12" width="11" hidden="0" customWidth="1"/>
    <x:col min="13" max="13" width="25" hidden="0" customWidth="1"/>
    <x:col min="14" max="14" width="32" hidden="0" customWidth="1"/>
    <x:col min="15" max="15" width="11" hidden="0" customWidth="1"/>
    <x:col min="16" max="16" width="11" hidden="0" customWidth="1"/>
    <x:col min="17" max="17" width="11" hidden="0" customWidth="1"/>
    <x:col min="18" max="18" width="11" hidden="0" customWidth="1"/>
  </x:cols>
  <x:sheetData>
    <x:row r="1" ht="26" customHeight="1">
      <x:c r="A1" s="9" t="str">
        <x:v>S03  Run chart and learning annotations</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See performance in time order rather than relying on two averages.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Order</x:v>
      </x:c>
      <x:c r="B9" s="77" t="str">
        <x:v>Value</x:v>
      </x:c>
      <x:c r="C9" s="77" t="str">
        <x:v>Baseline median</x:v>
      </x:c>
      <x:c r="D9" s="77" t="str">
        <x:v>Target</x:v>
      </x:c>
      <x:c r="E9" s="77" t="str">
        <x:v>Side</x:v>
      </x:c>
      <x:c r="F9" s="77" t="str">
        <x:v>Shift count</x:v>
      </x:c>
      <x:c r="G9" s="77" t="str">
        <x:v>Last side</x:v>
      </x:c>
      <x:c r="H9" s="77" t="str">
        <x:v>Trend count</x:v>
      </x:c>
      <x:c r="I9" s="77" t="str">
        <x:v>Trend direction</x:v>
      </x:c>
      <x:c r="J9" s="77" t="str">
        <x:v>Annotation</x:v>
      </x:c>
      <x:c r="K9" s="77" t="str">
        <x:v>Signal</x:v>
      </x:c>
      <x:c r="L9" s="3"/>
      <x:c r="M9" s="3"/>
      <x:c r="N9" s="3"/>
      <x:c r="O9" s="3"/>
      <x:c r="P9" s="3"/>
      <x:c r="Q9" s="3"/>
      <x:c r="R9" s="3"/>
    </x:row>
    <x:row r="10" ht="34" customHeight="1">
      <x:c r="A10" s="46" t="n">
        <x:v>1</x:v>
      </x:c>
      <x:c r="B10" s="110"/>
      <x:c r="C10" s="86" t="str">
        <x:f>IF(AND(ISNUMBER(B10),ISNUMBER($N$11)),$N$11,"")</x:f>
      </x:c>
      <x:c r="D10" s="86" t="str">
        <x:f>IF(AND(ISNUMBER(B10),ISNUMBER($N$10)),$N$10,"")</x:f>
      </x:c>
      <x:c r="E10" s="83" t="str">
        <x:f>IF(AND(ISNUMBER(B10),ISNUMBER($N$11)),SIGN(B10-$N$11),"")</x:f>
      </x:c>
      <x:c r="F10" s="82" t="str">
        <x:f>IF(ISNUMBER(E10),IF(E10=0,0,1),"")</x:f>
      </x:c>
      <x:c r="G10" s="82" t="str">
        <x:f>IF(ISNUMBER(E10),E10,"")</x:f>
      </x:c>
      <x:c r="H10" s="82" t="str">
        <x:f>IF(ISNUMBER(B10),1,"")</x:f>
      </x:c>
      <x:c r="I10" s="82" t="str">
        <x:f>IF(ISNUMBER(B10),0,"")</x:f>
      </x:c>
      <x:c r="J10" s="46"/>
      <x:c r="K10" s="82" t="str">
        <x:f>IF(ISNUMBER(B10),"Reference / first point","")</x:f>
      </x:c>
      <x:c r="L10" s="3"/>
      <x:c r="M10" s="95" t="str">
        <x:v>Target (optional)</x:v>
      </x:c>
      <x:c r="N10" s="108"/>
      <x:c r="O10" s="3"/>
      <x:c r="P10" s="3"/>
      <x:c r="Q10" s="3"/>
      <x:c r="R10" s="3"/>
    </x:row>
    <x:row r="11" ht="34" customHeight="1">
      <x:c r="A11" s="46" t="n">
        <x:v>2</x:v>
      </x:c>
      <x:c r="B11" s="110"/>
      <x:c r="C11" s="86" t="str">
        <x:f>IF(AND(ISNUMBER(B11),ISNUMBER($N$11)),$N$11,"")</x:f>
      </x:c>
      <x:c r="D11" s="86" t="str">
        <x:f>IF(AND(ISNUMBER(B11),ISNUMBER($N$10)),$N$10,"")</x:f>
      </x:c>
      <x:c r="E11" s="83" t="str">
        <x:f>IF(AND(ISNUMBER(B11),ISNUMBER($N$11)),SIGN(B11-$N$11),"")</x:f>
      </x:c>
      <x:c r="F11" s="83" t="str">
        <x:f>IF(NOT(ISNUMBER(E11)),"",IF(E11=0,IF(ISNUMBER(F10),F10,0),IF(E11=G10,IF(ISNUMBER(F10),F10+1,1),1)))</x:f>
      </x:c>
      <x:c r="G11" s="83" t="str">
        <x:f>IF(NOT(ISNUMBER(E11)),"",IF(E11=0,IF(ISNUMBER(G10),G10,0),E11))</x:f>
      </x:c>
      <x:c r="H11" s="83" t="str">
        <x:f>IF(NOT(ISNUMBER(B11)),"",IF(NOT(ISNUMBER(B10)),1,IF(B11=B10,H10,IF(I11=I10,H10+1,2))))</x:f>
      </x:c>
      <x:c r="I11" s="83" t="str">
        <x:f>IF(NOT(ISNUMBER(B11)),"",IF(NOT(ISNUMBER(B10)),0,IF(B11=B10,I10,SIGN(B11-B10))))</x:f>
      </x:c>
      <x:c r="J11" s="46"/>
      <x:c r="K11" s="83" t="str">
        <x:f>IF(NOT(ISNUMBER(B11)),"",IF(NOT(ISNUMBER($N$11)),"Complete 20-point baseline",IF($N$12&lt;'01 Setup'!$B$16,"Collect more points",IF(AND(E11&lt;&gt;0,F11&gt;='01 Setup'!$B$17),"Shift - investigate",IF(AND(B11&lt;&gt;B10,H11&gt;='01 Setup'!$B$18),"Trend - investigate","No screened signal")))))</x:f>
      </x:c>
      <x:c r="L11" s="3"/>
      <x:c r="M11" s="95" t="str">
        <x:v>Baseline median</x:v>
      </x:c>
      <x:c r="N11" s="66" t="str">
        <x:f>IF(COUNT(B10:B29)=20,MEDIAN(B10:B29),"")</x:f>
      </x:c>
      <x:c r="O11" s="3"/>
      <x:c r="P11" s="3"/>
      <x:c r="Q11" s="3"/>
      <x:c r="R11" s="3"/>
    </x:row>
    <x:row r="12" ht="34" customHeight="1">
      <x:c r="A12" s="46" t="n">
        <x:v>3</x:v>
      </x:c>
      <x:c r="B12" s="110"/>
      <x:c r="C12" s="86" t="str">
        <x:f>IF(AND(ISNUMBER(B12),ISNUMBER($N$11)),$N$11,"")</x:f>
      </x:c>
      <x:c r="D12" s="86" t="str">
        <x:f>IF(AND(ISNUMBER(B12),ISNUMBER($N$10)),$N$10,"")</x:f>
      </x:c>
      <x:c r="E12" s="83" t="str">
        <x:f>IF(AND(ISNUMBER(B12),ISNUMBER($N$11)),SIGN(B12-$N$11),"")</x:f>
      </x:c>
      <x:c r="F12" s="83" t="str">
        <x:f>IF(NOT(ISNUMBER(E12)),"",IF(E12=0,IF(ISNUMBER(F11),F11,0),IF(E12=G11,IF(ISNUMBER(F11),F11+1,1),1)))</x:f>
      </x:c>
      <x:c r="G12" s="83" t="str">
        <x:f>IF(NOT(ISNUMBER(E12)),"",IF(E12=0,IF(ISNUMBER(G11),G11,0),E12))</x:f>
      </x:c>
      <x:c r="H12" s="83" t="str">
        <x:f>IF(NOT(ISNUMBER(B12)),"",IF(NOT(ISNUMBER(B11)),1,IF(B12=B11,H11,IF(I12=I11,H11+1,2))))</x:f>
      </x:c>
      <x:c r="I12" s="83" t="str">
        <x:f>IF(NOT(ISNUMBER(B12)),"",IF(NOT(ISNUMBER(B11)),0,IF(B12=B11,I11,SIGN(B12-B11))))</x:f>
      </x:c>
      <x:c r="J12" s="46"/>
      <x:c r="K12" s="83" t="str">
        <x:f>IF(NOT(ISNUMBER(B12)),"",IF(NOT(ISNUMBER($N$11)),"Complete 20-point baseline",IF($N$12&lt;'01 Setup'!$B$16,"Collect more points",IF(AND(E12&lt;&gt;0,F12&gt;='01 Setup'!$B$17),"Shift - investigate",IF(AND(B12&lt;&gt;B11,H12&gt;='01 Setup'!$B$18),"Trend - investigate","No screened signal")))))</x:f>
      </x:c>
      <x:c r="L12" s="3"/>
      <x:c r="M12" s="95" t="str">
        <x:v>Valid observations</x:v>
      </x:c>
      <x:c r="N12" s="66" t="n">
        <x:f>COUNT(B10:B89)</x:f>
        <x:v>0</x:v>
      </x:c>
      <x:c r="O12" s="3"/>
      <x:c r="P12" s="3"/>
      <x:c r="Q12" s="3"/>
      <x:c r="R12" s="3"/>
    </x:row>
    <x:row r="13" ht="34" customHeight="1">
      <x:c r="A13" s="46" t="n">
        <x:v>4</x:v>
      </x:c>
      <x:c r="B13" s="110"/>
      <x:c r="C13" s="86" t="str">
        <x:f>IF(AND(ISNUMBER(B13),ISNUMBER($N$11)),$N$11,"")</x:f>
      </x:c>
      <x:c r="D13" s="86" t="str">
        <x:f>IF(AND(ISNUMBER(B13),ISNUMBER($N$10)),$N$10,"")</x:f>
      </x:c>
      <x:c r="E13" s="83" t="str">
        <x:f>IF(AND(ISNUMBER(B13),ISNUMBER($N$11)),SIGN(B13-$N$11),"")</x:f>
      </x:c>
      <x:c r="F13" s="83" t="str">
        <x:f>IF(NOT(ISNUMBER(E13)),"",IF(E13=0,IF(ISNUMBER(F12),F12,0),IF(E13=G12,IF(ISNUMBER(F12),F12+1,1),1)))</x:f>
      </x:c>
      <x:c r="G13" s="83" t="str">
        <x:f>IF(NOT(ISNUMBER(E13)),"",IF(E13=0,IF(ISNUMBER(G12),G12,0),E13))</x:f>
      </x:c>
      <x:c r="H13" s="83" t="str">
        <x:f>IF(NOT(ISNUMBER(B13)),"",IF(NOT(ISNUMBER(B12)),1,IF(B13=B12,H12,IF(I13=I12,H12+1,2))))</x:f>
      </x:c>
      <x:c r="I13" s="83" t="str">
        <x:f>IF(NOT(ISNUMBER(B13)),"",IF(NOT(ISNUMBER(B12)),0,IF(B13=B12,I12,SIGN(B13-B12))))</x:f>
      </x:c>
      <x:c r="J13" s="46"/>
      <x:c r="K13" s="83" t="str">
        <x:f>IF(NOT(ISNUMBER(B13)),"",IF(NOT(ISNUMBER($N$11)),"Complete 20-point baseline",IF($N$12&lt;'01 Setup'!$B$16,"Collect more points",IF(AND(E13&lt;&gt;0,F13&gt;='01 Setup'!$B$17),"Shift - investigate",IF(AND(B13&lt;&gt;B12,H13&gt;='01 Setup'!$B$18),"Trend - investigate","No screened signal")))))</x:f>
      </x:c>
      <x:c r="L13" s="3"/>
      <x:c r="M13" s="95" t="str">
        <x:v>Screen scope</x:v>
      </x:c>
      <x:c r="N13" s="66" t="str">
        <x:v>8-point shift / 6-point trend only</x:v>
      </x:c>
      <x:c r="O13" s="3"/>
      <x:c r="P13" s="3"/>
      <x:c r="Q13" s="3"/>
      <x:c r="R13" s="3"/>
    </x:row>
    <x:row r="14" ht="34" customHeight="1">
      <x:c r="A14" s="46" t="n">
        <x:v>5</x:v>
      </x:c>
      <x:c r="B14" s="110"/>
      <x:c r="C14" s="86" t="str">
        <x:f>IF(AND(ISNUMBER(B14),ISNUMBER($N$11)),$N$11,"")</x:f>
      </x:c>
      <x:c r="D14" s="86" t="str">
        <x:f>IF(AND(ISNUMBER(B14),ISNUMBER($N$10)),$N$10,"")</x:f>
      </x:c>
      <x:c r="E14" s="83" t="str">
        <x:f>IF(AND(ISNUMBER(B14),ISNUMBER($N$11)),SIGN(B14-$N$11),"")</x:f>
      </x:c>
      <x:c r="F14" s="83" t="str">
        <x:f>IF(NOT(ISNUMBER(E14)),"",IF(E14=0,IF(ISNUMBER(F13),F13,0),IF(E14=G13,IF(ISNUMBER(F13),F13+1,1),1)))</x:f>
      </x:c>
      <x:c r="G14" s="83" t="str">
        <x:f>IF(NOT(ISNUMBER(E14)),"",IF(E14=0,IF(ISNUMBER(G13),G13,0),E14))</x:f>
      </x:c>
      <x:c r="H14" s="83" t="str">
        <x:f>IF(NOT(ISNUMBER(B14)),"",IF(NOT(ISNUMBER(B13)),1,IF(B14=B13,H13,IF(I14=I13,H13+1,2))))</x:f>
      </x:c>
      <x:c r="I14" s="83" t="str">
        <x:f>IF(NOT(ISNUMBER(B14)),"",IF(NOT(ISNUMBER(B13)),0,IF(B14=B13,I13,SIGN(B14-B13))))</x:f>
      </x:c>
      <x:c r="J14" s="46"/>
      <x:c r="K14" s="83" t="str">
        <x:f>IF(NOT(ISNUMBER(B14)),"",IF(NOT(ISNUMBER($N$11)),"Complete 20-point baseline",IF($N$12&lt;'01 Setup'!$B$16,"Collect more points",IF(AND(E14&lt;&gt;0,F14&gt;='01 Setup'!$B$17),"Shift - investigate",IF(AND(B14&lt;&gt;B13,H14&gt;='01 Setup'!$B$18),"Trend - investigate","No screened signal")))))</x:f>
      </x:c>
      <x:c r="L14" s="3"/>
      <x:c r="M14" s="3"/>
      <x:c r="N14" s="3"/>
      <x:c r="O14" s="3"/>
      <x:c r="P14" s="3"/>
      <x:c r="Q14" s="3"/>
      <x:c r="R14" s="3"/>
    </x:row>
    <x:row r="15" ht="34" customHeight="1">
      <x:c r="A15" s="46" t="n">
        <x:v>6</x:v>
      </x:c>
      <x:c r="B15" s="110"/>
      <x:c r="C15" s="86" t="str">
        <x:f>IF(AND(ISNUMBER(B15),ISNUMBER($N$11)),$N$11,"")</x:f>
      </x:c>
      <x:c r="D15" s="86" t="str">
        <x:f>IF(AND(ISNUMBER(B15),ISNUMBER($N$10)),$N$10,"")</x:f>
      </x:c>
      <x:c r="E15" s="83" t="str">
        <x:f>IF(AND(ISNUMBER(B15),ISNUMBER($N$11)),SIGN(B15-$N$11),"")</x:f>
      </x:c>
      <x:c r="F15" s="83" t="str">
        <x:f>IF(NOT(ISNUMBER(E15)),"",IF(E15=0,IF(ISNUMBER(F14),F14,0),IF(E15=G14,IF(ISNUMBER(F14),F14+1,1),1)))</x:f>
      </x:c>
      <x:c r="G15" s="83" t="str">
        <x:f>IF(NOT(ISNUMBER(E15)),"",IF(E15=0,IF(ISNUMBER(G14),G14,0),E15))</x:f>
      </x:c>
      <x:c r="H15" s="83" t="str">
        <x:f>IF(NOT(ISNUMBER(B15)),"",IF(NOT(ISNUMBER(B14)),1,IF(B15=B14,H14,IF(I15=I14,H14+1,2))))</x:f>
      </x:c>
      <x:c r="I15" s="83" t="str">
        <x:f>IF(NOT(ISNUMBER(B15)),"",IF(NOT(ISNUMBER(B14)),0,IF(B15=B14,I14,SIGN(B15-B14))))</x:f>
      </x:c>
      <x:c r="J15" s="46"/>
      <x:c r="K15" s="83" t="str">
        <x:f>IF(NOT(ISNUMBER(B15)),"",IF(NOT(ISNUMBER($N$11)),"Complete 20-point baseline",IF($N$12&lt;'01 Setup'!$B$16,"Collect more points",IF(AND(E15&lt;&gt;0,F15&gt;='01 Setup'!$B$17),"Shift - investigate",IF(AND(B15&lt;&gt;B14,H15&gt;='01 Setup'!$B$18),"Trend - investigate","No screened signal")))))</x:f>
      </x:c>
      <x:c r="L15" s="3"/>
      <x:c r="M15" s="3"/>
      <x:c r="N15" s="3"/>
      <x:c r="O15" s="3"/>
      <x:c r="P15" s="3"/>
      <x:c r="Q15" s="3"/>
      <x:c r="R15" s="3"/>
    </x:row>
    <x:row r="16" ht="34" customHeight="1">
      <x:c r="A16" s="46" t="n">
        <x:v>7</x:v>
      </x:c>
      <x:c r="B16" s="110"/>
      <x:c r="C16" s="86" t="str">
        <x:f>IF(AND(ISNUMBER(B16),ISNUMBER($N$11)),$N$11,"")</x:f>
      </x:c>
      <x:c r="D16" s="86" t="str">
        <x:f>IF(AND(ISNUMBER(B16),ISNUMBER($N$10)),$N$10,"")</x:f>
      </x:c>
      <x:c r="E16" s="83" t="str">
        <x:f>IF(AND(ISNUMBER(B16),ISNUMBER($N$11)),SIGN(B16-$N$11),"")</x:f>
      </x:c>
      <x:c r="F16" s="83" t="str">
        <x:f>IF(NOT(ISNUMBER(E16)),"",IF(E16=0,IF(ISNUMBER(F15),F15,0),IF(E16=G15,IF(ISNUMBER(F15),F15+1,1),1)))</x:f>
      </x:c>
      <x:c r="G16" s="83" t="str">
        <x:f>IF(NOT(ISNUMBER(E16)),"",IF(E16=0,IF(ISNUMBER(G15),G15,0),E16))</x:f>
      </x:c>
      <x:c r="H16" s="83" t="str">
        <x:f>IF(NOT(ISNUMBER(B16)),"",IF(NOT(ISNUMBER(B15)),1,IF(B16=B15,H15,IF(I16=I15,H15+1,2))))</x:f>
      </x:c>
      <x:c r="I16" s="83" t="str">
        <x:f>IF(NOT(ISNUMBER(B16)),"",IF(NOT(ISNUMBER(B15)),0,IF(B16=B15,I15,SIGN(B16-B15))))</x:f>
      </x:c>
      <x:c r="J16" s="46"/>
      <x:c r="K16" s="83" t="str">
        <x:f>IF(NOT(ISNUMBER(B16)),"",IF(NOT(ISNUMBER($N$11)),"Complete 20-point baseline",IF($N$12&lt;'01 Setup'!$B$16,"Collect more points",IF(AND(E16&lt;&gt;0,F16&gt;='01 Setup'!$B$17),"Shift - investigate",IF(AND(B16&lt;&gt;B15,H16&gt;='01 Setup'!$B$18),"Trend - investigate","No screened signal")))))</x:f>
      </x:c>
      <x:c r="L16" s="3"/>
      <x:c r="M16" s="3"/>
      <x:c r="N16" s="3"/>
      <x:c r="O16" s="3"/>
      <x:c r="P16" s="3"/>
      <x:c r="Q16" s="3"/>
      <x:c r="R16" s="3"/>
    </x:row>
    <x:row r="17" ht="34" customHeight="1">
      <x:c r="A17" s="46" t="n">
        <x:v>8</x:v>
      </x:c>
      <x:c r="B17" s="110"/>
      <x:c r="C17" s="86" t="str">
        <x:f>IF(AND(ISNUMBER(B17),ISNUMBER($N$11)),$N$11,"")</x:f>
      </x:c>
      <x:c r="D17" s="86" t="str">
        <x:f>IF(AND(ISNUMBER(B17),ISNUMBER($N$10)),$N$10,"")</x:f>
      </x:c>
      <x:c r="E17" s="83" t="str">
        <x:f>IF(AND(ISNUMBER(B17),ISNUMBER($N$11)),SIGN(B17-$N$11),"")</x:f>
      </x:c>
      <x:c r="F17" s="83" t="str">
        <x:f>IF(NOT(ISNUMBER(E17)),"",IF(E17=0,IF(ISNUMBER(F16),F16,0),IF(E17=G16,IF(ISNUMBER(F16),F16+1,1),1)))</x:f>
      </x:c>
      <x:c r="G17" s="83" t="str">
        <x:f>IF(NOT(ISNUMBER(E17)),"",IF(E17=0,IF(ISNUMBER(G16),G16,0),E17))</x:f>
      </x:c>
      <x:c r="H17" s="83" t="str">
        <x:f>IF(NOT(ISNUMBER(B17)),"",IF(NOT(ISNUMBER(B16)),1,IF(B17=B16,H16,IF(I17=I16,H16+1,2))))</x:f>
      </x:c>
      <x:c r="I17" s="83" t="str">
        <x:f>IF(NOT(ISNUMBER(B17)),"",IF(NOT(ISNUMBER(B16)),0,IF(B17=B16,I16,SIGN(B17-B16))))</x:f>
      </x:c>
      <x:c r="J17" s="46"/>
      <x:c r="K17" s="83" t="str">
        <x:f>IF(NOT(ISNUMBER(B17)),"",IF(NOT(ISNUMBER($N$11)),"Complete 20-point baseline",IF($N$12&lt;'01 Setup'!$B$16,"Collect more points",IF(AND(E17&lt;&gt;0,F17&gt;='01 Setup'!$B$17),"Shift - investigate",IF(AND(B17&lt;&gt;B16,H17&gt;='01 Setup'!$B$18),"Trend - investigate","No screened signal")))))</x:f>
      </x:c>
      <x:c r="L17" s="3"/>
      <x:c r="M17" s="3"/>
      <x:c r="N17" s="3"/>
      <x:c r="O17" s="3"/>
      <x:c r="P17" s="3"/>
      <x:c r="Q17" s="3"/>
      <x:c r="R17" s="3"/>
    </x:row>
    <x:row r="18" ht="34" customHeight="1">
      <x:c r="A18" s="46" t="n">
        <x:v>9</x:v>
      </x:c>
      <x:c r="B18" s="110"/>
      <x:c r="C18" s="86" t="str">
        <x:f>IF(AND(ISNUMBER(B18),ISNUMBER($N$11)),$N$11,"")</x:f>
      </x:c>
      <x:c r="D18" s="86" t="str">
        <x:f>IF(AND(ISNUMBER(B18),ISNUMBER($N$10)),$N$10,"")</x:f>
      </x:c>
      <x:c r="E18" s="83" t="str">
        <x:f>IF(AND(ISNUMBER(B18),ISNUMBER($N$11)),SIGN(B18-$N$11),"")</x:f>
      </x:c>
      <x:c r="F18" s="83" t="str">
        <x:f>IF(NOT(ISNUMBER(E18)),"",IF(E18=0,IF(ISNUMBER(F17),F17,0),IF(E18=G17,IF(ISNUMBER(F17),F17+1,1),1)))</x:f>
      </x:c>
      <x:c r="G18" s="83" t="str">
        <x:f>IF(NOT(ISNUMBER(E18)),"",IF(E18=0,IF(ISNUMBER(G17),G17,0),E18))</x:f>
      </x:c>
      <x:c r="H18" s="83" t="str">
        <x:f>IF(NOT(ISNUMBER(B18)),"",IF(NOT(ISNUMBER(B17)),1,IF(B18=B17,H17,IF(I18=I17,H17+1,2))))</x:f>
      </x:c>
      <x:c r="I18" s="83" t="str">
        <x:f>IF(NOT(ISNUMBER(B18)),"",IF(NOT(ISNUMBER(B17)),0,IF(B18=B17,I17,SIGN(B18-B17))))</x:f>
      </x:c>
      <x:c r="J18" s="46"/>
      <x:c r="K18" s="83" t="str">
        <x:f>IF(NOT(ISNUMBER(B18)),"",IF(NOT(ISNUMBER($N$11)),"Complete 20-point baseline",IF($N$12&lt;'01 Setup'!$B$16,"Collect more points",IF(AND(E18&lt;&gt;0,F18&gt;='01 Setup'!$B$17),"Shift - investigate",IF(AND(B18&lt;&gt;B17,H18&gt;='01 Setup'!$B$18),"Trend - investigate","No screened signal")))))</x:f>
      </x:c>
      <x:c r="L18" s="3"/>
      <x:c r="M18" s="3"/>
      <x:c r="N18" s="3"/>
      <x:c r="O18" s="3"/>
      <x:c r="P18" s="3"/>
      <x:c r="Q18" s="3"/>
      <x:c r="R18" s="3"/>
    </x:row>
    <x:row r="19" ht="34" customHeight="1">
      <x:c r="A19" s="46" t="n">
        <x:v>10</x:v>
      </x:c>
      <x:c r="B19" s="110"/>
      <x:c r="C19" s="86" t="str">
        <x:f>IF(AND(ISNUMBER(B19),ISNUMBER($N$11)),$N$11,"")</x:f>
      </x:c>
      <x:c r="D19" s="86" t="str">
        <x:f>IF(AND(ISNUMBER(B19),ISNUMBER($N$10)),$N$10,"")</x:f>
      </x:c>
      <x:c r="E19" s="83" t="str">
        <x:f>IF(AND(ISNUMBER(B19),ISNUMBER($N$11)),SIGN(B19-$N$11),"")</x:f>
      </x:c>
      <x:c r="F19" s="83" t="str">
        <x:f>IF(NOT(ISNUMBER(E19)),"",IF(E19=0,IF(ISNUMBER(F18),F18,0),IF(E19=G18,IF(ISNUMBER(F18),F18+1,1),1)))</x:f>
      </x:c>
      <x:c r="G19" s="83" t="str">
        <x:f>IF(NOT(ISNUMBER(E19)),"",IF(E19=0,IF(ISNUMBER(G18),G18,0),E19))</x:f>
      </x:c>
      <x:c r="H19" s="83" t="str">
        <x:f>IF(NOT(ISNUMBER(B19)),"",IF(NOT(ISNUMBER(B18)),1,IF(B19=B18,H18,IF(I19=I18,H18+1,2))))</x:f>
      </x:c>
      <x:c r="I19" s="83" t="str">
        <x:f>IF(NOT(ISNUMBER(B19)),"",IF(NOT(ISNUMBER(B18)),0,IF(B19=B18,I18,SIGN(B19-B18))))</x:f>
      </x:c>
      <x:c r="J19" s="46"/>
      <x:c r="K19" s="83" t="str">
        <x:f>IF(NOT(ISNUMBER(B19)),"",IF(NOT(ISNUMBER($N$11)),"Complete 20-point baseline",IF($N$12&lt;'01 Setup'!$B$16,"Collect more points",IF(AND(E19&lt;&gt;0,F19&gt;='01 Setup'!$B$17),"Shift - investigate",IF(AND(B19&lt;&gt;B18,H19&gt;='01 Setup'!$B$18),"Trend - investigate","No screened signal")))))</x:f>
      </x:c>
      <x:c r="L19" s="3"/>
      <x:c r="M19" s="3"/>
      <x:c r="N19" s="3"/>
      <x:c r="O19" s="3"/>
      <x:c r="P19" s="3"/>
      <x:c r="Q19" s="3"/>
      <x:c r="R19" s="3"/>
    </x:row>
    <x:row r="20" ht="34" customHeight="1">
      <x:c r="A20" s="46" t="n">
        <x:v>11</x:v>
      </x:c>
      <x:c r="B20" s="110"/>
      <x:c r="C20" s="86" t="str">
        <x:f>IF(AND(ISNUMBER(B20),ISNUMBER($N$11)),$N$11,"")</x:f>
      </x:c>
      <x:c r="D20" s="86" t="str">
        <x:f>IF(AND(ISNUMBER(B20),ISNUMBER($N$10)),$N$10,"")</x:f>
      </x:c>
      <x:c r="E20" s="83" t="str">
        <x:f>IF(AND(ISNUMBER(B20),ISNUMBER($N$11)),SIGN(B20-$N$11),"")</x:f>
      </x:c>
      <x:c r="F20" s="83" t="str">
        <x:f>IF(NOT(ISNUMBER(E20)),"",IF(E20=0,IF(ISNUMBER(F19),F19,0),IF(E20=G19,IF(ISNUMBER(F19),F19+1,1),1)))</x:f>
      </x:c>
      <x:c r="G20" s="83" t="str">
        <x:f>IF(NOT(ISNUMBER(E20)),"",IF(E20=0,IF(ISNUMBER(G19),G19,0),E20))</x:f>
      </x:c>
      <x:c r="H20" s="83" t="str">
        <x:f>IF(NOT(ISNUMBER(B20)),"",IF(NOT(ISNUMBER(B19)),1,IF(B20=B19,H19,IF(I20=I19,H19+1,2))))</x:f>
      </x:c>
      <x:c r="I20" s="83" t="str">
        <x:f>IF(NOT(ISNUMBER(B20)),"",IF(NOT(ISNUMBER(B19)),0,IF(B20=B19,I19,SIGN(B20-B19))))</x:f>
      </x:c>
      <x:c r="J20" s="46"/>
      <x:c r="K20" s="83" t="str">
        <x:f>IF(NOT(ISNUMBER(B20)),"",IF(NOT(ISNUMBER($N$11)),"Complete 20-point baseline",IF($N$12&lt;'01 Setup'!$B$16,"Collect more points",IF(AND(E20&lt;&gt;0,F20&gt;='01 Setup'!$B$17),"Shift - investigate",IF(AND(B20&lt;&gt;B19,H20&gt;='01 Setup'!$B$18),"Trend - investigate","No screened signal")))))</x:f>
      </x:c>
      <x:c r="L20" s="3"/>
      <x:c r="M20" s="3"/>
      <x:c r="N20" s="3"/>
      <x:c r="O20" s="3"/>
      <x:c r="P20" s="3"/>
      <x:c r="Q20" s="3"/>
      <x:c r="R20" s="3"/>
    </x:row>
    <x:row r="21" ht="34" customHeight="1">
      <x:c r="A21" s="46" t="n">
        <x:v>12</x:v>
      </x:c>
      <x:c r="B21" s="110"/>
      <x:c r="C21" s="86" t="str">
        <x:f>IF(AND(ISNUMBER(B21),ISNUMBER($N$11)),$N$11,"")</x:f>
      </x:c>
      <x:c r="D21" s="86" t="str">
        <x:f>IF(AND(ISNUMBER(B21),ISNUMBER($N$10)),$N$10,"")</x:f>
      </x:c>
      <x:c r="E21" s="83" t="str">
        <x:f>IF(AND(ISNUMBER(B21),ISNUMBER($N$11)),SIGN(B21-$N$11),"")</x:f>
      </x:c>
      <x:c r="F21" s="83" t="str">
        <x:f>IF(NOT(ISNUMBER(E21)),"",IF(E21=0,IF(ISNUMBER(F20),F20,0),IF(E21=G20,IF(ISNUMBER(F20),F20+1,1),1)))</x:f>
      </x:c>
      <x:c r="G21" s="83" t="str">
        <x:f>IF(NOT(ISNUMBER(E21)),"",IF(E21=0,IF(ISNUMBER(G20),G20,0),E21))</x:f>
      </x:c>
      <x:c r="H21" s="83" t="str">
        <x:f>IF(NOT(ISNUMBER(B21)),"",IF(NOT(ISNUMBER(B20)),1,IF(B21=B20,H20,IF(I21=I20,H20+1,2))))</x:f>
      </x:c>
      <x:c r="I21" s="83" t="str">
        <x:f>IF(NOT(ISNUMBER(B21)),"",IF(NOT(ISNUMBER(B20)),0,IF(B21=B20,I20,SIGN(B21-B20))))</x:f>
      </x:c>
      <x:c r="J21" s="46"/>
      <x:c r="K21" s="83" t="str">
        <x:f>IF(NOT(ISNUMBER(B21)),"",IF(NOT(ISNUMBER($N$11)),"Complete 20-point baseline",IF($N$12&lt;'01 Setup'!$B$16,"Collect more points",IF(AND(E21&lt;&gt;0,F21&gt;='01 Setup'!$B$17),"Shift - investigate",IF(AND(B21&lt;&gt;B20,H21&gt;='01 Setup'!$B$18),"Trend - investigate","No screened signal")))))</x:f>
      </x:c>
      <x:c r="L21" s="3"/>
      <x:c r="M21" s="3"/>
      <x:c r="N21" s="3"/>
      <x:c r="O21" s="3"/>
      <x:c r="P21" s="3"/>
      <x:c r="Q21" s="3"/>
      <x:c r="R21" s="3"/>
    </x:row>
    <x:row r="22" ht="34" customHeight="1">
      <x:c r="A22" s="46" t="n">
        <x:v>13</x:v>
      </x:c>
      <x:c r="B22" s="110"/>
      <x:c r="C22" s="86" t="str">
        <x:f>IF(AND(ISNUMBER(B22),ISNUMBER($N$11)),$N$11,"")</x:f>
      </x:c>
      <x:c r="D22" s="86" t="str">
        <x:f>IF(AND(ISNUMBER(B22),ISNUMBER($N$10)),$N$10,"")</x:f>
      </x:c>
      <x:c r="E22" s="83" t="str">
        <x:f>IF(AND(ISNUMBER(B22),ISNUMBER($N$11)),SIGN(B22-$N$11),"")</x:f>
      </x:c>
      <x:c r="F22" s="83" t="str">
        <x:f>IF(NOT(ISNUMBER(E22)),"",IF(E22=0,IF(ISNUMBER(F21),F21,0),IF(E22=G21,IF(ISNUMBER(F21),F21+1,1),1)))</x:f>
      </x:c>
      <x:c r="G22" s="83" t="str">
        <x:f>IF(NOT(ISNUMBER(E22)),"",IF(E22=0,IF(ISNUMBER(G21),G21,0),E22))</x:f>
      </x:c>
      <x:c r="H22" s="83" t="str">
        <x:f>IF(NOT(ISNUMBER(B22)),"",IF(NOT(ISNUMBER(B21)),1,IF(B22=B21,H21,IF(I22=I21,H21+1,2))))</x:f>
      </x:c>
      <x:c r="I22" s="83" t="str">
        <x:f>IF(NOT(ISNUMBER(B22)),"",IF(NOT(ISNUMBER(B21)),0,IF(B22=B21,I21,SIGN(B22-B21))))</x:f>
      </x:c>
      <x:c r="J22" s="46"/>
      <x:c r="K22" s="83" t="str">
        <x:f>IF(NOT(ISNUMBER(B22)),"",IF(NOT(ISNUMBER($N$11)),"Complete 20-point baseline",IF($N$12&lt;'01 Setup'!$B$16,"Collect more points",IF(AND(E22&lt;&gt;0,F22&gt;='01 Setup'!$B$17),"Shift - investigate",IF(AND(B22&lt;&gt;B21,H22&gt;='01 Setup'!$B$18),"Trend - investigate","No screened signal")))))</x:f>
      </x:c>
      <x:c r="L22" s="3"/>
      <x:c r="M22" s="3"/>
      <x:c r="N22" s="3"/>
      <x:c r="O22" s="3"/>
      <x:c r="P22" s="3"/>
      <x:c r="Q22" s="3"/>
      <x:c r="R22" s="3"/>
    </x:row>
    <x:row r="23" ht="34" customHeight="1">
      <x:c r="A23" s="46" t="n">
        <x:v>14</x:v>
      </x:c>
      <x:c r="B23" s="110"/>
      <x:c r="C23" s="86" t="str">
        <x:f>IF(AND(ISNUMBER(B23),ISNUMBER($N$11)),$N$11,"")</x:f>
      </x:c>
      <x:c r="D23" s="86" t="str">
        <x:f>IF(AND(ISNUMBER(B23),ISNUMBER($N$10)),$N$10,"")</x:f>
      </x:c>
      <x:c r="E23" s="83" t="str">
        <x:f>IF(AND(ISNUMBER(B23),ISNUMBER($N$11)),SIGN(B23-$N$11),"")</x:f>
      </x:c>
      <x:c r="F23" s="83" t="str">
        <x:f>IF(NOT(ISNUMBER(E23)),"",IF(E23=0,IF(ISNUMBER(F22),F22,0),IF(E23=G22,IF(ISNUMBER(F22),F22+1,1),1)))</x:f>
      </x:c>
      <x:c r="G23" s="83" t="str">
        <x:f>IF(NOT(ISNUMBER(E23)),"",IF(E23=0,IF(ISNUMBER(G22),G22,0),E23))</x:f>
      </x:c>
      <x:c r="H23" s="83" t="str">
        <x:f>IF(NOT(ISNUMBER(B23)),"",IF(NOT(ISNUMBER(B22)),1,IF(B23=B22,H22,IF(I23=I22,H22+1,2))))</x:f>
      </x:c>
      <x:c r="I23" s="83" t="str">
        <x:f>IF(NOT(ISNUMBER(B23)),"",IF(NOT(ISNUMBER(B22)),0,IF(B23=B22,I22,SIGN(B23-B22))))</x:f>
      </x:c>
      <x:c r="J23" s="46"/>
      <x:c r="K23" s="83" t="str">
        <x:f>IF(NOT(ISNUMBER(B23)),"",IF(NOT(ISNUMBER($N$11)),"Complete 20-point baseline",IF($N$12&lt;'01 Setup'!$B$16,"Collect more points",IF(AND(E23&lt;&gt;0,F23&gt;='01 Setup'!$B$17),"Shift - investigate",IF(AND(B23&lt;&gt;B22,H23&gt;='01 Setup'!$B$18),"Trend - investigate","No screened signal")))))</x:f>
      </x:c>
      <x:c r="L23" s="3"/>
      <x:c r="M23" s="3"/>
      <x:c r="N23" s="3"/>
      <x:c r="O23" s="3"/>
      <x:c r="P23" s="3"/>
      <x:c r="Q23" s="3"/>
      <x:c r="R23" s="3"/>
    </x:row>
    <x:row r="24" ht="34" customHeight="1">
      <x:c r="A24" s="46" t="n">
        <x:v>15</x:v>
      </x:c>
      <x:c r="B24" s="110"/>
      <x:c r="C24" s="86" t="str">
        <x:f>IF(AND(ISNUMBER(B24),ISNUMBER($N$11)),$N$11,"")</x:f>
      </x:c>
      <x:c r="D24" s="86" t="str">
        <x:f>IF(AND(ISNUMBER(B24),ISNUMBER($N$10)),$N$10,"")</x:f>
      </x:c>
      <x:c r="E24" s="83" t="str">
        <x:f>IF(AND(ISNUMBER(B24),ISNUMBER($N$11)),SIGN(B24-$N$11),"")</x:f>
      </x:c>
      <x:c r="F24" s="83" t="str">
        <x:f>IF(NOT(ISNUMBER(E24)),"",IF(E24=0,IF(ISNUMBER(F23),F23,0),IF(E24=G23,IF(ISNUMBER(F23),F23+1,1),1)))</x:f>
      </x:c>
      <x:c r="G24" s="83" t="str">
        <x:f>IF(NOT(ISNUMBER(E24)),"",IF(E24=0,IF(ISNUMBER(G23),G23,0),E24))</x:f>
      </x:c>
      <x:c r="H24" s="83" t="str">
        <x:f>IF(NOT(ISNUMBER(B24)),"",IF(NOT(ISNUMBER(B23)),1,IF(B24=B23,H23,IF(I24=I23,H23+1,2))))</x:f>
      </x:c>
      <x:c r="I24" s="83" t="str">
        <x:f>IF(NOT(ISNUMBER(B24)),"",IF(NOT(ISNUMBER(B23)),0,IF(B24=B23,I23,SIGN(B24-B23))))</x:f>
      </x:c>
      <x:c r="J24" s="46"/>
      <x:c r="K24" s="83" t="str">
        <x:f>IF(NOT(ISNUMBER(B24)),"",IF(NOT(ISNUMBER($N$11)),"Complete 20-point baseline",IF($N$12&lt;'01 Setup'!$B$16,"Collect more points",IF(AND(E24&lt;&gt;0,F24&gt;='01 Setup'!$B$17),"Shift - investigate",IF(AND(B24&lt;&gt;B23,H24&gt;='01 Setup'!$B$18),"Trend - investigate","No screened signal")))))</x:f>
      </x:c>
      <x:c r="L24" s="3"/>
      <x:c r="M24" s="3"/>
      <x:c r="N24" s="3"/>
      <x:c r="O24" s="3"/>
      <x:c r="P24" s="3"/>
      <x:c r="Q24" s="3"/>
      <x:c r="R24" s="3"/>
    </x:row>
    <x:row r="25" ht="34" customHeight="1">
      <x:c r="A25" s="46" t="n">
        <x:v>16</x:v>
      </x:c>
      <x:c r="B25" s="110"/>
      <x:c r="C25" s="86" t="str">
        <x:f>IF(AND(ISNUMBER(B25),ISNUMBER($N$11)),$N$11,"")</x:f>
      </x:c>
      <x:c r="D25" s="86" t="str">
        <x:f>IF(AND(ISNUMBER(B25),ISNUMBER($N$10)),$N$10,"")</x:f>
      </x:c>
      <x:c r="E25" s="83" t="str">
        <x:f>IF(AND(ISNUMBER(B25),ISNUMBER($N$11)),SIGN(B25-$N$11),"")</x:f>
      </x:c>
      <x:c r="F25" s="83" t="str">
        <x:f>IF(NOT(ISNUMBER(E25)),"",IF(E25=0,IF(ISNUMBER(F24),F24,0),IF(E25=G24,IF(ISNUMBER(F24),F24+1,1),1)))</x:f>
      </x:c>
      <x:c r="G25" s="83" t="str">
        <x:f>IF(NOT(ISNUMBER(E25)),"",IF(E25=0,IF(ISNUMBER(G24),G24,0),E25))</x:f>
      </x:c>
      <x:c r="H25" s="83" t="str">
        <x:f>IF(NOT(ISNUMBER(B25)),"",IF(NOT(ISNUMBER(B24)),1,IF(B25=B24,H24,IF(I25=I24,H24+1,2))))</x:f>
      </x:c>
      <x:c r="I25" s="83" t="str">
        <x:f>IF(NOT(ISNUMBER(B25)),"",IF(NOT(ISNUMBER(B24)),0,IF(B25=B24,I24,SIGN(B25-B24))))</x:f>
      </x:c>
      <x:c r="J25" s="46"/>
      <x:c r="K25" s="83" t="str">
        <x:f>IF(NOT(ISNUMBER(B25)),"",IF(NOT(ISNUMBER($N$11)),"Complete 20-point baseline",IF($N$12&lt;'01 Setup'!$B$16,"Collect more points",IF(AND(E25&lt;&gt;0,F25&gt;='01 Setup'!$B$17),"Shift - investigate",IF(AND(B25&lt;&gt;B24,H25&gt;='01 Setup'!$B$18),"Trend - investigate","No screened signal")))))</x:f>
      </x:c>
      <x:c r="L25" s="3"/>
      <x:c r="M25" s="3"/>
      <x:c r="N25" s="3"/>
      <x:c r="O25" s="3"/>
      <x:c r="P25" s="3"/>
      <x:c r="Q25" s="3"/>
      <x:c r="R25" s="3"/>
    </x:row>
    <x:row r="26" ht="34" customHeight="1">
      <x:c r="A26" s="46" t="n">
        <x:v>17</x:v>
      </x:c>
      <x:c r="B26" s="110"/>
      <x:c r="C26" s="86" t="str">
        <x:f>IF(AND(ISNUMBER(B26),ISNUMBER($N$11)),$N$11,"")</x:f>
      </x:c>
      <x:c r="D26" s="86" t="str">
        <x:f>IF(AND(ISNUMBER(B26),ISNUMBER($N$10)),$N$10,"")</x:f>
      </x:c>
      <x:c r="E26" s="83" t="str">
        <x:f>IF(AND(ISNUMBER(B26),ISNUMBER($N$11)),SIGN(B26-$N$11),"")</x:f>
      </x:c>
      <x:c r="F26" s="83" t="str">
        <x:f>IF(NOT(ISNUMBER(E26)),"",IF(E26=0,IF(ISNUMBER(F25),F25,0),IF(E26=G25,IF(ISNUMBER(F25),F25+1,1),1)))</x:f>
      </x:c>
      <x:c r="G26" s="83" t="str">
        <x:f>IF(NOT(ISNUMBER(E26)),"",IF(E26=0,IF(ISNUMBER(G25),G25,0),E26))</x:f>
      </x:c>
      <x:c r="H26" s="83" t="str">
        <x:f>IF(NOT(ISNUMBER(B26)),"",IF(NOT(ISNUMBER(B25)),1,IF(B26=B25,H25,IF(I26=I25,H25+1,2))))</x:f>
      </x:c>
      <x:c r="I26" s="83" t="str">
        <x:f>IF(NOT(ISNUMBER(B26)),"",IF(NOT(ISNUMBER(B25)),0,IF(B26=B25,I25,SIGN(B26-B25))))</x:f>
      </x:c>
      <x:c r="J26" s="46"/>
      <x:c r="K26" s="83" t="str">
        <x:f>IF(NOT(ISNUMBER(B26)),"",IF(NOT(ISNUMBER($N$11)),"Complete 20-point baseline",IF($N$12&lt;'01 Setup'!$B$16,"Collect more points",IF(AND(E26&lt;&gt;0,F26&gt;='01 Setup'!$B$17),"Shift - investigate",IF(AND(B26&lt;&gt;B25,H26&gt;='01 Setup'!$B$18),"Trend - investigate","No screened signal")))))</x:f>
      </x:c>
      <x:c r="L26" s="3"/>
      <x:c r="M26" s="3"/>
      <x:c r="N26" s="3"/>
      <x:c r="O26" s="3"/>
      <x:c r="P26" s="3"/>
      <x:c r="Q26" s="3"/>
      <x:c r="R26" s="3"/>
    </x:row>
    <x:row r="27" ht="34" customHeight="1">
      <x:c r="A27" s="46" t="n">
        <x:v>18</x:v>
      </x:c>
      <x:c r="B27" s="110"/>
      <x:c r="C27" s="86" t="str">
        <x:f>IF(AND(ISNUMBER(B27),ISNUMBER($N$11)),$N$11,"")</x:f>
      </x:c>
      <x:c r="D27" s="86" t="str">
        <x:f>IF(AND(ISNUMBER(B27),ISNUMBER($N$10)),$N$10,"")</x:f>
      </x:c>
      <x:c r="E27" s="83" t="str">
        <x:f>IF(AND(ISNUMBER(B27),ISNUMBER($N$11)),SIGN(B27-$N$11),"")</x:f>
      </x:c>
      <x:c r="F27" s="83" t="str">
        <x:f>IF(NOT(ISNUMBER(E27)),"",IF(E27=0,IF(ISNUMBER(F26),F26,0),IF(E27=G26,IF(ISNUMBER(F26),F26+1,1),1)))</x:f>
      </x:c>
      <x:c r="G27" s="83" t="str">
        <x:f>IF(NOT(ISNUMBER(E27)),"",IF(E27=0,IF(ISNUMBER(G26),G26,0),E27))</x:f>
      </x:c>
      <x:c r="H27" s="83" t="str">
        <x:f>IF(NOT(ISNUMBER(B27)),"",IF(NOT(ISNUMBER(B26)),1,IF(B27=B26,H26,IF(I27=I26,H26+1,2))))</x:f>
      </x:c>
      <x:c r="I27" s="83" t="str">
        <x:f>IF(NOT(ISNUMBER(B27)),"",IF(NOT(ISNUMBER(B26)),0,IF(B27=B26,I26,SIGN(B27-B26))))</x:f>
      </x:c>
      <x:c r="J27" s="46"/>
      <x:c r="K27" s="83" t="str">
        <x:f>IF(NOT(ISNUMBER(B27)),"",IF(NOT(ISNUMBER($N$11)),"Complete 20-point baseline",IF($N$12&lt;'01 Setup'!$B$16,"Collect more points",IF(AND(E27&lt;&gt;0,F27&gt;='01 Setup'!$B$17),"Shift - investigate",IF(AND(B27&lt;&gt;B26,H27&gt;='01 Setup'!$B$18),"Trend - investigate","No screened signal")))))</x:f>
      </x:c>
      <x:c r="L27" s="3"/>
      <x:c r="M27" s="3"/>
      <x:c r="N27" s="3"/>
      <x:c r="O27" s="3"/>
      <x:c r="P27" s="3"/>
      <x:c r="Q27" s="3"/>
      <x:c r="R27" s="3"/>
    </x:row>
    <x:row r="28" ht="34" customHeight="1">
      <x:c r="A28" s="46" t="n">
        <x:v>19</x:v>
      </x:c>
      <x:c r="B28" s="110"/>
      <x:c r="C28" s="86" t="str">
        <x:f>IF(AND(ISNUMBER(B28),ISNUMBER($N$11)),$N$11,"")</x:f>
      </x:c>
      <x:c r="D28" s="86" t="str">
        <x:f>IF(AND(ISNUMBER(B28),ISNUMBER($N$10)),$N$10,"")</x:f>
      </x:c>
      <x:c r="E28" s="83" t="str">
        <x:f>IF(AND(ISNUMBER(B28),ISNUMBER($N$11)),SIGN(B28-$N$11),"")</x:f>
      </x:c>
      <x:c r="F28" s="83" t="str">
        <x:f>IF(NOT(ISNUMBER(E28)),"",IF(E28=0,IF(ISNUMBER(F27),F27,0),IF(E28=G27,IF(ISNUMBER(F27),F27+1,1),1)))</x:f>
      </x:c>
      <x:c r="G28" s="83" t="str">
        <x:f>IF(NOT(ISNUMBER(E28)),"",IF(E28=0,IF(ISNUMBER(G27),G27,0),E28))</x:f>
      </x:c>
      <x:c r="H28" s="83" t="str">
        <x:f>IF(NOT(ISNUMBER(B28)),"",IF(NOT(ISNUMBER(B27)),1,IF(B28=B27,H27,IF(I28=I27,H27+1,2))))</x:f>
      </x:c>
      <x:c r="I28" s="83" t="str">
        <x:f>IF(NOT(ISNUMBER(B28)),"",IF(NOT(ISNUMBER(B27)),0,IF(B28=B27,I27,SIGN(B28-B27))))</x:f>
      </x:c>
      <x:c r="J28" s="46"/>
      <x:c r="K28" s="83" t="str">
        <x:f>IF(NOT(ISNUMBER(B28)),"",IF(NOT(ISNUMBER($N$11)),"Complete 20-point baseline",IF($N$12&lt;'01 Setup'!$B$16,"Collect more points",IF(AND(E28&lt;&gt;0,F28&gt;='01 Setup'!$B$17),"Shift - investigate",IF(AND(B28&lt;&gt;B27,H28&gt;='01 Setup'!$B$18),"Trend - investigate","No screened signal")))))</x:f>
      </x:c>
      <x:c r="L28" s="3"/>
      <x:c r="M28" s="3"/>
      <x:c r="N28" s="3"/>
      <x:c r="O28" s="3"/>
      <x:c r="P28" s="3"/>
      <x:c r="Q28" s="3"/>
      <x:c r="R28" s="3"/>
    </x:row>
    <x:row r="29" ht="34" customHeight="1">
      <x:c r="A29" s="46" t="n">
        <x:v>20</x:v>
      </x:c>
      <x:c r="B29" s="110"/>
      <x:c r="C29" s="86" t="str">
        <x:f>IF(AND(ISNUMBER(B29),ISNUMBER($N$11)),$N$11,"")</x:f>
      </x:c>
      <x:c r="D29" s="86" t="str">
        <x:f>IF(AND(ISNUMBER(B29),ISNUMBER($N$10)),$N$10,"")</x:f>
      </x:c>
      <x:c r="E29" s="83" t="str">
        <x:f>IF(AND(ISNUMBER(B29),ISNUMBER($N$11)),SIGN(B29-$N$11),"")</x:f>
      </x:c>
      <x:c r="F29" s="83" t="str">
        <x:f>IF(NOT(ISNUMBER(E29)),"",IF(E29=0,IF(ISNUMBER(F28),F28,0),IF(E29=G28,IF(ISNUMBER(F28),F28+1,1),1)))</x:f>
      </x:c>
      <x:c r="G29" s="83" t="str">
        <x:f>IF(NOT(ISNUMBER(E29)),"",IF(E29=0,IF(ISNUMBER(G28),G28,0),E29))</x:f>
      </x:c>
      <x:c r="H29" s="83" t="str">
        <x:f>IF(NOT(ISNUMBER(B29)),"",IF(NOT(ISNUMBER(B28)),1,IF(B29=B28,H28,IF(I29=I28,H28+1,2))))</x:f>
      </x:c>
      <x:c r="I29" s="83" t="str">
        <x:f>IF(NOT(ISNUMBER(B29)),"",IF(NOT(ISNUMBER(B28)),0,IF(B29=B28,I28,SIGN(B29-B28))))</x:f>
      </x:c>
      <x:c r="J29" s="46"/>
      <x:c r="K29" s="83" t="str">
        <x:f>IF(NOT(ISNUMBER(B29)),"",IF(NOT(ISNUMBER($N$11)),"Complete 20-point baseline",IF($N$12&lt;'01 Setup'!$B$16,"Collect more points",IF(AND(E29&lt;&gt;0,F29&gt;='01 Setup'!$B$17),"Shift - investigate",IF(AND(B29&lt;&gt;B28,H29&gt;='01 Setup'!$B$18),"Trend - investigate","No screened signal")))))</x:f>
      </x:c>
      <x:c r="L29" s="3"/>
      <x:c r="M29" s="3"/>
      <x:c r="N29" s="3"/>
      <x:c r="O29" s="3"/>
      <x:c r="P29" s="3"/>
      <x:c r="Q29" s="3"/>
      <x:c r="R29" s="3"/>
    </x:row>
    <x:row r="30" ht="34" customHeight="1">
      <x:c r="A30" s="46" t="n">
        <x:v>21</x:v>
      </x:c>
      <x:c r="B30" s="110"/>
      <x:c r="C30" s="86" t="str">
        <x:f>IF(AND(ISNUMBER(B30),ISNUMBER($N$11)),$N$11,"")</x:f>
      </x:c>
      <x:c r="D30" s="86" t="str">
        <x:f>IF(AND(ISNUMBER(B30),ISNUMBER($N$10)),$N$10,"")</x:f>
      </x:c>
      <x:c r="E30" s="83" t="str">
        <x:f>IF(AND(ISNUMBER(B30),ISNUMBER($N$11)),SIGN(B30-$N$11),"")</x:f>
      </x:c>
      <x:c r="F30" s="83" t="str">
        <x:f>IF(NOT(ISNUMBER(E30)),"",IF(E30=0,IF(ISNUMBER(F29),F29,0),IF(E30=G29,IF(ISNUMBER(F29),F29+1,1),1)))</x:f>
      </x:c>
      <x:c r="G30" s="83" t="str">
        <x:f>IF(NOT(ISNUMBER(E30)),"",IF(E30=0,IF(ISNUMBER(G29),G29,0),E30))</x:f>
      </x:c>
      <x:c r="H30" s="83" t="str">
        <x:f>IF(NOT(ISNUMBER(B30)),"",IF(NOT(ISNUMBER(B29)),1,IF(B30=B29,H29,IF(I30=I29,H29+1,2))))</x:f>
      </x:c>
      <x:c r="I30" s="83" t="str">
        <x:f>IF(NOT(ISNUMBER(B30)),"",IF(NOT(ISNUMBER(B29)),0,IF(B30=B29,I29,SIGN(B30-B29))))</x:f>
      </x:c>
      <x:c r="J30" s="46"/>
      <x:c r="K30" s="83" t="str">
        <x:f>IF(NOT(ISNUMBER(B30)),"",IF(NOT(ISNUMBER($N$11)),"Complete 20-point baseline",IF($N$12&lt;'01 Setup'!$B$16,"Collect more points",IF(AND(E30&lt;&gt;0,F30&gt;='01 Setup'!$B$17),"Shift - investigate",IF(AND(B30&lt;&gt;B29,H30&gt;='01 Setup'!$B$18),"Trend - investigate","No screened signal")))))</x:f>
      </x:c>
      <x:c r="L30" s="3"/>
      <x:c r="M30" s="3"/>
      <x:c r="N30" s="3"/>
      <x:c r="O30" s="3"/>
      <x:c r="P30" s="3"/>
      <x:c r="Q30" s="3"/>
      <x:c r="R30" s="3"/>
    </x:row>
    <x:row r="31" ht="34" customHeight="1">
      <x:c r="A31" s="46" t="n">
        <x:v>22</x:v>
      </x:c>
      <x:c r="B31" s="110"/>
      <x:c r="C31" s="86" t="str">
        <x:f>IF(AND(ISNUMBER(B31),ISNUMBER($N$11)),$N$11,"")</x:f>
      </x:c>
      <x:c r="D31" s="86" t="str">
        <x:f>IF(AND(ISNUMBER(B31),ISNUMBER($N$10)),$N$10,"")</x:f>
      </x:c>
      <x:c r="E31" s="83" t="str">
        <x:f>IF(AND(ISNUMBER(B31),ISNUMBER($N$11)),SIGN(B31-$N$11),"")</x:f>
      </x:c>
      <x:c r="F31" s="83" t="str">
        <x:f>IF(NOT(ISNUMBER(E31)),"",IF(E31=0,IF(ISNUMBER(F30),F30,0),IF(E31=G30,IF(ISNUMBER(F30),F30+1,1),1)))</x:f>
      </x:c>
      <x:c r="G31" s="83" t="str">
        <x:f>IF(NOT(ISNUMBER(E31)),"",IF(E31=0,IF(ISNUMBER(G30),G30,0),E31))</x:f>
      </x:c>
      <x:c r="H31" s="83" t="str">
        <x:f>IF(NOT(ISNUMBER(B31)),"",IF(NOT(ISNUMBER(B30)),1,IF(B31=B30,H30,IF(I31=I30,H30+1,2))))</x:f>
      </x:c>
      <x:c r="I31" s="83" t="str">
        <x:f>IF(NOT(ISNUMBER(B31)),"",IF(NOT(ISNUMBER(B30)),0,IF(B31=B30,I30,SIGN(B31-B30))))</x:f>
      </x:c>
      <x:c r="J31" s="46"/>
      <x:c r="K31" s="83" t="str">
        <x:f>IF(NOT(ISNUMBER(B31)),"",IF(NOT(ISNUMBER($N$11)),"Complete 20-point baseline",IF($N$12&lt;'01 Setup'!$B$16,"Collect more points",IF(AND(E31&lt;&gt;0,F31&gt;='01 Setup'!$B$17),"Shift - investigate",IF(AND(B31&lt;&gt;B30,H31&gt;='01 Setup'!$B$18),"Trend - investigate","No screened signal")))))</x:f>
      </x:c>
      <x:c r="L31" s="3"/>
      <x:c r="M31" s="3"/>
      <x:c r="N31" s="3"/>
      <x:c r="O31" s="3"/>
      <x:c r="P31" s="3"/>
      <x:c r="Q31" s="3"/>
      <x:c r="R31" s="3"/>
    </x:row>
    <x:row r="32" ht="34" customHeight="1">
      <x:c r="A32" s="46" t="n">
        <x:v>23</x:v>
      </x:c>
      <x:c r="B32" s="110"/>
      <x:c r="C32" s="86" t="str">
        <x:f>IF(AND(ISNUMBER(B32),ISNUMBER($N$11)),$N$11,"")</x:f>
      </x:c>
      <x:c r="D32" s="86" t="str">
        <x:f>IF(AND(ISNUMBER(B32),ISNUMBER($N$10)),$N$10,"")</x:f>
      </x:c>
      <x:c r="E32" s="83" t="str">
        <x:f>IF(AND(ISNUMBER(B32),ISNUMBER($N$11)),SIGN(B32-$N$11),"")</x:f>
      </x:c>
      <x:c r="F32" s="83" t="str">
        <x:f>IF(NOT(ISNUMBER(E32)),"",IF(E32=0,IF(ISNUMBER(F31),F31,0),IF(E32=G31,IF(ISNUMBER(F31),F31+1,1),1)))</x:f>
      </x:c>
      <x:c r="G32" s="83" t="str">
        <x:f>IF(NOT(ISNUMBER(E32)),"",IF(E32=0,IF(ISNUMBER(G31),G31,0),E32))</x:f>
      </x:c>
      <x:c r="H32" s="83" t="str">
        <x:f>IF(NOT(ISNUMBER(B32)),"",IF(NOT(ISNUMBER(B31)),1,IF(B32=B31,H31,IF(I32=I31,H31+1,2))))</x:f>
      </x:c>
      <x:c r="I32" s="83" t="str">
        <x:f>IF(NOT(ISNUMBER(B32)),"",IF(NOT(ISNUMBER(B31)),0,IF(B32=B31,I31,SIGN(B32-B31))))</x:f>
      </x:c>
      <x:c r="J32" s="46"/>
      <x:c r="K32" s="83" t="str">
        <x:f>IF(NOT(ISNUMBER(B32)),"",IF(NOT(ISNUMBER($N$11)),"Complete 20-point baseline",IF($N$12&lt;'01 Setup'!$B$16,"Collect more points",IF(AND(E32&lt;&gt;0,F32&gt;='01 Setup'!$B$17),"Shift - investigate",IF(AND(B32&lt;&gt;B31,H32&gt;='01 Setup'!$B$18),"Trend - investigate","No screened signal")))))</x:f>
      </x:c>
      <x:c r="L32" s="3"/>
      <x:c r="M32" s="3"/>
      <x:c r="N32" s="3"/>
      <x:c r="O32" s="3"/>
      <x:c r="P32" s="3"/>
      <x:c r="Q32" s="3"/>
      <x:c r="R32" s="3"/>
    </x:row>
    <x:row r="33" ht="34" customHeight="1">
      <x:c r="A33" s="46" t="n">
        <x:v>24</x:v>
      </x:c>
      <x:c r="B33" s="110"/>
      <x:c r="C33" s="86" t="str">
        <x:f>IF(AND(ISNUMBER(B33),ISNUMBER($N$11)),$N$11,"")</x:f>
      </x:c>
      <x:c r="D33" s="86" t="str">
        <x:f>IF(AND(ISNUMBER(B33),ISNUMBER($N$10)),$N$10,"")</x:f>
      </x:c>
      <x:c r="E33" s="83" t="str">
        <x:f>IF(AND(ISNUMBER(B33),ISNUMBER($N$11)),SIGN(B33-$N$11),"")</x:f>
      </x:c>
      <x:c r="F33" s="83" t="str">
        <x:f>IF(NOT(ISNUMBER(E33)),"",IF(E33=0,IF(ISNUMBER(F32),F32,0),IF(E33=G32,IF(ISNUMBER(F32),F32+1,1),1)))</x:f>
      </x:c>
      <x:c r="G33" s="83" t="str">
        <x:f>IF(NOT(ISNUMBER(E33)),"",IF(E33=0,IF(ISNUMBER(G32),G32,0),E33))</x:f>
      </x:c>
      <x:c r="H33" s="83" t="str">
        <x:f>IF(NOT(ISNUMBER(B33)),"",IF(NOT(ISNUMBER(B32)),1,IF(B33=B32,H32,IF(I33=I32,H32+1,2))))</x:f>
      </x:c>
      <x:c r="I33" s="83" t="str">
        <x:f>IF(NOT(ISNUMBER(B33)),"",IF(NOT(ISNUMBER(B32)),0,IF(B33=B32,I32,SIGN(B33-B32))))</x:f>
      </x:c>
      <x:c r="J33" s="46"/>
      <x:c r="K33" s="83" t="str">
        <x:f>IF(NOT(ISNUMBER(B33)),"",IF(NOT(ISNUMBER($N$11)),"Complete 20-point baseline",IF($N$12&lt;'01 Setup'!$B$16,"Collect more points",IF(AND(E33&lt;&gt;0,F33&gt;='01 Setup'!$B$17),"Shift - investigate",IF(AND(B33&lt;&gt;B32,H33&gt;='01 Setup'!$B$18),"Trend - investigate","No screened signal")))))</x:f>
      </x:c>
      <x:c r="L33" s="3"/>
      <x:c r="M33" s="3"/>
      <x:c r="N33" s="3"/>
      <x:c r="O33" s="3"/>
      <x:c r="P33" s="3"/>
      <x:c r="Q33" s="3"/>
      <x:c r="R33" s="3"/>
    </x:row>
    <x:row r="34" ht="34" customHeight="1">
      <x:c r="A34" s="46" t="n">
        <x:v>25</x:v>
      </x:c>
      <x:c r="B34" s="110"/>
      <x:c r="C34" s="86" t="str">
        <x:f>IF(AND(ISNUMBER(B34),ISNUMBER($N$11)),$N$11,"")</x:f>
      </x:c>
      <x:c r="D34" s="86" t="str">
        <x:f>IF(AND(ISNUMBER(B34),ISNUMBER($N$10)),$N$10,"")</x:f>
      </x:c>
      <x:c r="E34" s="83" t="str">
        <x:f>IF(AND(ISNUMBER(B34),ISNUMBER($N$11)),SIGN(B34-$N$11),"")</x:f>
      </x:c>
      <x:c r="F34" s="83" t="str">
        <x:f>IF(NOT(ISNUMBER(E34)),"",IF(E34=0,IF(ISNUMBER(F33),F33,0),IF(E34=G33,IF(ISNUMBER(F33),F33+1,1),1)))</x:f>
      </x:c>
      <x:c r="G34" s="83" t="str">
        <x:f>IF(NOT(ISNUMBER(E34)),"",IF(E34=0,IF(ISNUMBER(G33),G33,0),E34))</x:f>
      </x:c>
      <x:c r="H34" s="83" t="str">
        <x:f>IF(NOT(ISNUMBER(B34)),"",IF(NOT(ISNUMBER(B33)),1,IF(B34=B33,H33,IF(I34=I33,H33+1,2))))</x:f>
      </x:c>
      <x:c r="I34" s="83" t="str">
        <x:f>IF(NOT(ISNUMBER(B34)),"",IF(NOT(ISNUMBER(B33)),0,IF(B34=B33,I33,SIGN(B34-B33))))</x:f>
      </x:c>
      <x:c r="J34" s="46"/>
      <x:c r="K34" s="83" t="str">
        <x:f>IF(NOT(ISNUMBER(B34)),"",IF(NOT(ISNUMBER($N$11)),"Complete 20-point baseline",IF($N$12&lt;'01 Setup'!$B$16,"Collect more points",IF(AND(E34&lt;&gt;0,F34&gt;='01 Setup'!$B$17),"Shift - investigate",IF(AND(B34&lt;&gt;B33,H34&gt;='01 Setup'!$B$18),"Trend - investigate","No screened signal")))))</x:f>
      </x:c>
      <x:c r="L34" s="3"/>
      <x:c r="M34" s="3"/>
      <x:c r="N34" s="3"/>
      <x:c r="O34" s="3"/>
      <x:c r="P34" s="3"/>
      <x:c r="Q34" s="3"/>
      <x:c r="R34" s="3"/>
    </x:row>
    <x:row r="35" ht="34" customHeight="1">
      <x:c r="A35" s="46" t="n">
        <x:v>26</x:v>
      </x:c>
      <x:c r="B35" s="110"/>
      <x:c r="C35" s="86" t="str">
        <x:f>IF(AND(ISNUMBER(B35),ISNUMBER($N$11)),$N$11,"")</x:f>
      </x:c>
      <x:c r="D35" s="86" t="str">
        <x:f>IF(AND(ISNUMBER(B35),ISNUMBER($N$10)),$N$10,"")</x:f>
      </x:c>
      <x:c r="E35" s="83" t="str">
        <x:f>IF(AND(ISNUMBER(B35),ISNUMBER($N$11)),SIGN(B35-$N$11),"")</x:f>
      </x:c>
      <x:c r="F35" s="83" t="str">
        <x:f>IF(NOT(ISNUMBER(E35)),"",IF(E35=0,IF(ISNUMBER(F34),F34,0),IF(E35=G34,IF(ISNUMBER(F34),F34+1,1),1)))</x:f>
      </x:c>
      <x:c r="G35" s="83" t="str">
        <x:f>IF(NOT(ISNUMBER(E35)),"",IF(E35=0,IF(ISNUMBER(G34),G34,0),E35))</x:f>
      </x:c>
      <x:c r="H35" s="83" t="str">
        <x:f>IF(NOT(ISNUMBER(B35)),"",IF(NOT(ISNUMBER(B34)),1,IF(B35=B34,H34,IF(I35=I34,H34+1,2))))</x:f>
      </x:c>
      <x:c r="I35" s="83" t="str">
        <x:f>IF(NOT(ISNUMBER(B35)),"",IF(NOT(ISNUMBER(B34)),0,IF(B35=B34,I34,SIGN(B35-B34))))</x:f>
      </x:c>
      <x:c r="J35" s="46"/>
      <x:c r="K35" s="83" t="str">
        <x:f>IF(NOT(ISNUMBER(B35)),"",IF(NOT(ISNUMBER($N$11)),"Complete 20-point baseline",IF($N$12&lt;'01 Setup'!$B$16,"Collect more points",IF(AND(E35&lt;&gt;0,F35&gt;='01 Setup'!$B$17),"Shift - investigate",IF(AND(B35&lt;&gt;B34,H35&gt;='01 Setup'!$B$18),"Trend - investigate","No screened signal")))))</x:f>
      </x:c>
      <x:c r="L35" s="3"/>
      <x:c r="M35" s="3"/>
      <x:c r="N35" s="3"/>
      <x:c r="O35" s="3"/>
      <x:c r="P35" s="3"/>
      <x:c r="Q35" s="3"/>
      <x:c r="R35" s="3"/>
    </x:row>
    <x:row r="36" ht="34" customHeight="1">
      <x:c r="A36" s="46" t="n">
        <x:v>27</x:v>
      </x:c>
      <x:c r="B36" s="110"/>
      <x:c r="C36" s="86" t="str">
        <x:f>IF(AND(ISNUMBER(B36),ISNUMBER($N$11)),$N$11,"")</x:f>
      </x:c>
      <x:c r="D36" s="86" t="str">
        <x:f>IF(AND(ISNUMBER(B36),ISNUMBER($N$10)),$N$10,"")</x:f>
      </x:c>
      <x:c r="E36" s="83" t="str">
        <x:f>IF(AND(ISNUMBER(B36),ISNUMBER($N$11)),SIGN(B36-$N$11),"")</x:f>
      </x:c>
      <x:c r="F36" s="83" t="str">
        <x:f>IF(NOT(ISNUMBER(E36)),"",IF(E36=0,IF(ISNUMBER(F35),F35,0),IF(E36=G35,IF(ISNUMBER(F35),F35+1,1),1)))</x:f>
      </x:c>
      <x:c r="G36" s="83" t="str">
        <x:f>IF(NOT(ISNUMBER(E36)),"",IF(E36=0,IF(ISNUMBER(G35),G35,0),E36))</x:f>
      </x:c>
      <x:c r="H36" s="83" t="str">
        <x:f>IF(NOT(ISNUMBER(B36)),"",IF(NOT(ISNUMBER(B35)),1,IF(B36=B35,H35,IF(I36=I35,H35+1,2))))</x:f>
      </x:c>
      <x:c r="I36" s="83" t="str">
        <x:f>IF(NOT(ISNUMBER(B36)),"",IF(NOT(ISNUMBER(B35)),0,IF(B36=B35,I35,SIGN(B36-B35))))</x:f>
      </x:c>
      <x:c r="J36" s="46"/>
      <x:c r="K36" s="83" t="str">
        <x:f>IF(NOT(ISNUMBER(B36)),"",IF(NOT(ISNUMBER($N$11)),"Complete 20-point baseline",IF($N$12&lt;'01 Setup'!$B$16,"Collect more points",IF(AND(E36&lt;&gt;0,F36&gt;='01 Setup'!$B$17),"Shift - investigate",IF(AND(B36&lt;&gt;B35,H36&gt;='01 Setup'!$B$18),"Trend - investigate","No screened signal")))))</x:f>
      </x:c>
      <x:c r="L36" s="3"/>
      <x:c r="M36" s="3"/>
      <x:c r="N36" s="3"/>
      <x:c r="O36" s="3"/>
      <x:c r="P36" s="3"/>
      <x:c r="Q36" s="3"/>
      <x:c r="R36" s="3"/>
    </x:row>
    <x:row r="37" ht="34" customHeight="1">
      <x:c r="A37" s="46" t="n">
        <x:v>28</x:v>
      </x:c>
      <x:c r="B37" s="110"/>
      <x:c r="C37" s="86" t="str">
        <x:f>IF(AND(ISNUMBER(B37),ISNUMBER($N$11)),$N$11,"")</x:f>
      </x:c>
      <x:c r="D37" s="86" t="str">
        <x:f>IF(AND(ISNUMBER(B37),ISNUMBER($N$10)),$N$10,"")</x:f>
      </x:c>
      <x:c r="E37" s="83" t="str">
        <x:f>IF(AND(ISNUMBER(B37),ISNUMBER($N$11)),SIGN(B37-$N$11),"")</x:f>
      </x:c>
      <x:c r="F37" s="83" t="str">
        <x:f>IF(NOT(ISNUMBER(E37)),"",IF(E37=0,IF(ISNUMBER(F36),F36,0),IF(E37=G36,IF(ISNUMBER(F36),F36+1,1),1)))</x:f>
      </x:c>
      <x:c r="G37" s="83" t="str">
        <x:f>IF(NOT(ISNUMBER(E37)),"",IF(E37=0,IF(ISNUMBER(G36),G36,0),E37))</x:f>
      </x:c>
      <x:c r="H37" s="83" t="str">
        <x:f>IF(NOT(ISNUMBER(B37)),"",IF(NOT(ISNUMBER(B36)),1,IF(B37=B36,H36,IF(I37=I36,H36+1,2))))</x:f>
      </x:c>
      <x:c r="I37" s="83" t="str">
        <x:f>IF(NOT(ISNUMBER(B37)),"",IF(NOT(ISNUMBER(B36)),0,IF(B37=B36,I36,SIGN(B37-B36))))</x:f>
      </x:c>
      <x:c r="J37" s="46"/>
      <x:c r="K37" s="83" t="str">
        <x:f>IF(NOT(ISNUMBER(B37)),"",IF(NOT(ISNUMBER($N$11)),"Complete 20-point baseline",IF($N$12&lt;'01 Setup'!$B$16,"Collect more points",IF(AND(E37&lt;&gt;0,F37&gt;='01 Setup'!$B$17),"Shift - investigate",IF(AND(B37&lt;&gt;B36,H37&gt;='01 Setup'!$B$18),"Trend - investigate","No screened signal")))))</x:f>
      </x:c>
      <x:c r="L37" s="3"/>
      <x:c r="M37" s="3"/>
      <x:c r="N37" s="3"/>
      <x:c r="O37" s="3"/>
      <x:c r="P37" s="3"/>
      <x:c r="Q37" s="3"/>
      <x:c r="R37" s="3"/>
    </x:row>
    <x:row r="38" ht="34" customHeight="1">
      <x:c r="A38" s="46" t="n">
        <x:v>29</x:v>
      </x:c>
      <x:c r="B38" s="110"/>
      <x:c r="C38" s="86" t="str">
        <x:f>IF(AND(ISNUMBER(B38),ISNUMBER($N$11)),$N$11,"")</x:f>
      </x:c>
      <x:c r="D38" s="86" t="str">
        <x:f>IF(AND(ISNUMBER(B38),ISNUMBER($N$10)),$N$10,"")</x:f>
      </x:c>
      <x:c r="E38" s="83" t="str">
        <x:f>IF(AND(ISNUMBER(B38),ISNUMBER($N$11)),SIGN(B38-$N$11),"")</x:f>
      </x:c>
      <x:c r="F38" s="83" t="str">
        <x:f>IF(NOT(ISNUMBER(E38)),"",IF(E38=0,IF(ISNUMBER(F37),F37,0),IF(E38=G37,IF(ISNUMBER(F37),F37+1,1),1)))</x:f>
      </x:c>
      <x:c r="G38" s="83" t="str">
        <x:f>IF(NOT(ISNUMBER(E38)),"",IF(E38=0,IF(ISNUMBER(G37),G37,0),E38))</x:f>
      </x:c>
      <x:c r="H38" s="83" t="str">
        <x:f>IF(NOT(ISNUMBER(B38)),"",IF(NOT(ISNUMBER(B37)),1,IF(B38=B37,H37,IF(I38=I37,H37+1,2))))</x:f>
      </x:c>
      <x:c r="I38" s="83" t="str">
        <x:f>IF(NOT(ISNUMBER(B38)),"",IF(NOT(ISNUMBER(B37)),0,IF(B38=B37,I37,SIGN(B38-B37))))</x:f>
      </x:c>
      <x:c r="J38" s="46"/>
      <x:c r="K38" s="83" t="str">
        <x:f>IF(NOT(ISNUMBER(B38)),"",IF(NOT(ISNUMBER($N$11)),"Complete 20-point baseline",IF($N$12&lt;'01 Setup'!$B$16,"Collect more points",IF(AND(E38&lt;&gt;0,F38&gt;='01 Setup'!$B$17),"Shift - investigate",IF(AND(B38&lt;&gt;B37,H38&gt;='01 Setup'!$B$18),"Trend - investigate","No screened signal")))))</x:f>
      </x:c>
      <x:c r="L38" s="3"/>
      <x:c r="M38" s="3"/>
      <x:c r="N38" s="3"/>
      <x:c r="O38" s="3"/>
      <x:c r="P38" s="3"/>
      <x:c r="Q38" s="3"/>
      <x:c r="R38" s="3"/>
    </x:row>
    <x:row r="39" ht="34" customHeight="1">
      <x:c r="A39" s="46" t="n">
        <x:v>30</x:v>
      </x:c>
      <x:c r="B39" s="110"/>
      <x:c r="C39" s="86" t="str">
        <x:f>IF(AND(ISNUMBER(B39),ISNUMBER($N$11)),$N$11,"")</x:f>
      </x:c>
      <x:c r="D39" s="86" t="str">
        <x:f>IF(AND(ISNUMBER(B39),ISNUMBER($N$10)),$N$10,"")</x:f>
      </x:c>
      <x:c r="E39" s="83" t="str">
        <x:f>IF(AND(ISNUMBER(B39),ISNUMBER($N$11)),SIGN(B39-$N$11),"")</x:f>
      </x:c>
      <x:c r="F39" s="83" t="str">
        <x:f>IF(NOT(ISNUMBER(E39)),"",IF(E39=0,IF(ISNUMBER(F38),F38,0),IF(E39=G38,IF(ISNUMBER(F38),F38+1,1),1)))</x:f>
      </x:c>
      <x:c r="G39" s="83" t="str">
        <x:f>IF(NOT(ISNUMBER(E39)),"",IF(E39=0,IF(ISNUMBER(G38),G38,0),E39))</x:f>
      </x:c>
      <x:c r="H39" s="83" t="str">
        <x:f>IF(NOT(ISNUMBER(B39)),"",IF(NOT(ISNUMBER(B38)),1,IF(B39=B38,H38,IF(I39=I38,H38+1,2))))</x:f>
      </x:c>
      <x:c r="I39" s="83" t="str">
        <x:f>IF(NOT(ISNUMBER(B39)),"",IF(NOT(ISNUMBER(B38)),0,IF(B39=B38,I38,SIGN(B39-B38))))</x:f>
      </x:c>
      <x:c r="J39" s="46"/>
      <x:c r="K39" s="83" t="str">
        <x:f>IF(NOT(ISNUMBER(B39)),"",IF(NOT(ISNUMBER($N$11)),"Complete 20-point baseline",IF($N$12&lt;'01 Setup'!$B$16,"Collect more points",IF(AND(E39&lt;&gt;0,F39&gt;='01 Setup'!$B$17),"Shift - investigate",IF(AND(B39&lt;&gt;B38,H39&gt;='01 Setup'!$B$18),"Trend - investigate","No screened signal")))))</x:f>
      </x:c>
      <x:c r="L39" s="3"/>
      <x:c r="M39" s="3"/>
      <x:c r="N39" s="3"/>
      <x:c r="O39" s="3"/>
      <x:c r="P39" s="3"/>
      <x:c r="Q39" s="3"/>
      <x:c r="R39" s="3"/>
    </x:row>
    <x:row r="40" ht="34" customHeight="1">
      <x:c r="A40" s="46" t="n">
        <x:v>31</x:v>
      </x:c>
      <x:c r="B40" s="110"/>
      <x:c r="C40" s="86" t="str">
        <x:f>IF(AND(ISNUMBER(B40),ISNUMBER($N$11)),$N$11,"")</x:f>
      </x:c>
      <x:c r="D40" s="86" t="str">
        <x:f>IF(AND(ISNUMBER(B40),ISNUMBER($N$10)),$N$10,"")</x:f>
      </x:c>
      <x:c r="E40" s="83" t="str">
        <x:f>IF(AND(ISNUMBER(B40),ISNUMBER($N$11)),SIGN(B40-$N$11),"")</x:f>
      </x:c>
      <x:c r="F40" s="83" t="str">
        <x:f>IF(NOT(ISNUMBER(E40)),"",IF(E40=0,IF(ISNUMBER(F39),F39,0),IF(E40=G39,IF(ISNUMBER(F39),F39+1,1),1)))</x:f>
      </x:c>
      <x:c r="G40" s="83" t="str">
        <x:f>IF(NOT(ISNUMBER(E40)),"",IF(E40=0,IF(ISNUMBER(G39),G39,0),E40))</x:f>
      </x:c>
      <x:c r="H40" s="83" t="str">
        <x:f>IF(NOT(ISNUMBER(B40)),"",IF(NOT(ISNUMBER(B39)),1,IF(B40=B39,H39,IF(I40=I39,H39+1,2))))</x:f>
      </x:c>
      <x:c r="I40" s="83" t="str">
        <x:f>IF(NOT(ISNUMBER(B40)),"",IF(NOT(ISNUMBER(B39)),0,IF(B40=B39,I39,SIGN(B40-B39))))</x:f>
      </x:c>
      <x:c r="J40" s="46"/>
      <x:c r="K40" s="83" t="str">
        <x:f>IF(NOT(ISNUMBER(B40)),"",IF(NOT(ISNUMBER($N$11)),"Complete 20-point baseline",IF($N$12&lt;'01 Setup'!$B$16,"Collect more points",IF(AND(E40&lt;&gt;0,F40&gt;='01 Setup'!$B$17),"Shift - investigate",IF(AND(B40&lt;&gt;B39,H40&gt;='01 Setup'!$B$18),"Trend - investigate","No screened signal")))))</x:f>
      </x:c>
      <x:c r="L40" s="3"/>
      <x:c r="M40" s="3"/>
      <x:c r="N40" s="3"/>
      <x:c r="O40" s="3"/>
      <x:c r="P40" s="3"/>
      <x:c r="Q40" s="3"/>
      <x:c r="R40" s="3"/>
    </x:row>
    <x:row r="41" ht="34" customHeight="1">
      <x:c r="A41" s="46" t="n">
        <x:v>32</x:v>
      </x:c>
      <x:c r="B41" s="110"/>
      <x:c r="C41" s="86" t="str">
        <x:f>IF(AND(ISNUMBER(B41),ISNUMBER($N$11)),$N$11,"")</x:f>
      </x:c>
      <x:c r="D41" s="86" t="str">
        <x:f>IF(AND(ISNUMBER(B41),ISNUMBER($N$10)),$N$10,"")</x:f>
      </x:c>
      <x:c r="E41" s="83" t="str">
        <x:f>IF(AND(ISNUMBER(B41),ISNUMBER($N$11)),SIGN(B41-$N$11),"")</x:f>
      </x:c>
      <x:c r="F41" s="83" t="str">
        <x:f>IF(NOT(ISNUMBER(E41)),"",IF(E41=0,IF(ISNUMBER(F40),F40,0),IF(E41=G40,IF(ISNUMBER(F40),F40+1,1),1)))</x:f>
      </x:c>
      <x:c r="G41" s="83" t="str">
        <x:f>IF(NOT(ISNUMBER(E41)),"",IF(E41=0,IF(ISNUMBER(G40),G40,0),E41))</x:f>
      </x:c>
      <x:c r="H41" s="83" t="str">
        <x:f>IF(NOT(ISNUMBER(B41)),"",IF(NOT(ISNUMBER(B40)),1,IF(B41=B40,H40,IF(I41=I40,H40+1,2))))</x:f>
      </x:c>
      <x:c r="I41" s="83" t="str">
        <x:f>IF(NOT(ISNUMBER(B41)),"",IF(NOT(ISNUMBER(B40)),0,IF(B41=B40,I40,SIGN(B41-B40))))</x:f>
      </x:c>
      <x:c r="J41" s="46"/>
      <x:c r="K41" s="83" t="str">
        <x:f>IF(NOT(ISNUMBER(B41)),"",IF(NOT(ISNUMBER($N$11)),"Complete 20-point baseline",IF($N$12&lt;'01 Setup'!$B$16,"Collect more points",IF(AND(E41&lt;&gt;0,F41&gt;='01 Setup'!$B$17),"Shift - investigate",IF(AND(B41&lt;&gt;B40,H41&gt;='01 Setup'!$B$18),"Trend - investigate","No screened signal")))))</x:f>
      </x:c>
      <x:c r="L41" s="3"/>
      <x:c r="M41" s="3"/>
      <x:c r="N41" s="3"/>
      <x:c r="O41" s="3"/>
      <x:c r="P41" s="3"/>
      <x:c r="Q41" s="3"/>
      <x:c r="R41" s="3"/>
    </x:row>
    <x:row r="42" ht="34" customHeight="1">
      <x:c r="A42" s="46" t="n">
        <x:v>33</x:v>
      </x:c>
      <x:c r="B42" s="110"/>
      <x:c r="C42" s="86" t="str">
        <x:f>IF(AND(ISNUMBER(B42),ISNUMBER($N$11)),$N$11,"")</x:f>
      </x:c>
      <x:c r="D42" s="86" t="str">
        <x:f>IF(AND(ISNUMBER(B42),ISNUMBER($N$10)),$N$10,"")</x:f>
      </x:c>
      <x:c r="E42" s="83" t="str">
        <x:f>IF(AND(ISNUMBER(B42),ISNUMBER($N$11)),SIGN(B42-$N$11),"")</x:f>
      </x:c>
      <x:c r="F42" s="83" t="str">
        <x:f>IF(NOT(ISNUMBER(E42)),"",IF(E42=0,IF(ISNUMBER(F41),F41,0),IF(E42=G41,IF(ISNUMBER(F41),F41+1,1),1)))</x:f>
      </x:c>
      <x:c r="G42" s="83" t="str">
        <x:f>IF(NOT(ISNUMBER(E42)),"",IF(E42=0,IF(ISNUMBER(G41),G41,0),E42))</x:f>
      </x:c>
      <x:c r="H42" s="83" t="str">
        <x:f>IF(NOT(ISNUMBER(B42)),"",IF(NOT(ISNUMBER(B41)),1,IF(B42=B41,H41,IF(I42=I41,H41+1,2))))</x:f>
      </x:c>
      <x:c r="I42" s="83" t="str">
        <x:f>IF(NOT(ISNUMBER(B42)),"",IF(NOT(ISNUMBER(B41)),0,IF(B42=B41,I41,SIGN(B42-B41))))</x:f>
      </x:c>
      <x:c r="J42" s="46"/>
      <x:c r="K42" s="83" t="str">
        <x:f>IF(NOT(ISNUMBER(B42)),"",IF(NOT(ISNUMBER($N$11)),"Complete 20-point baseline",IF($N$12&lt;'01 Setup'!$B$16,"Collect more points",IF(AND(E42&lt;&gt;0,F42&gt;='01 Setup'!$B$17),"Shift - investigate",IF(AND(B42&lt;&gt;B41,H42&gt;='01 Setup'!$B$18),"Trend - investigate","No screened signal")))))</x:f>
      </x:c>
      <x:c r="L42" s="3"/>
      <x:c r="M42" s="3"/>
      <x:c r="N42" s="3"/>
      <x:c r="O42" s="3"/>
      <x:c r="P42" s="3"/>
      <x:c r="Q42" s="3"/>
      <x:c r="R42" s="3"/>
    </x:row>
    <x:row r="43" ht="34" customHeight="1">
      <x:c r="A43" s="46" t="n">
        <x:v>34</x:v>
      </x:c>
      <x:c r="B43" s="110"/>
      <x:c r="C43" s="86" t="str">
        <x:f>IF(AND(ISNUMBER(B43),ISNUMBER($N$11)),$N$11,"")</x:f>
      </x:c>
      <x:c r="D43" s="86" t="str">
        <x:f>IF(AND(ISNUMBER(B43),ISNUMBER($N$10)),$N$10,"")</x:f>
      </x:c>
      <x:c r="E43" s="83" t="str">
        <x:f>IF(AND(ISNUMBER(B43),ISNUMBER($N$11)),SIGN(B43-$N$11),"")</x:f>
      </x:c>
      <x:c r="F43" s="83" t="str">
        <x:f>IF(NOT(ISNUMBER(E43)),"",IF(E43=0,IF(ISNUMBER(F42),F42,0),IF(E43=G42,IF(ISNUMBER(F42),F42+1,1),1)))</x:f>
      </x:c>
      <x:c r="G43" s="83" t="str">
        <x:f>IF(NOT(ISNUMBER(E43)),"",IF(E43=0,IF(ISNUMBER(G42),G42,0),E43))</x:f>
      </x:c>
      <x:c r="H43" s="83" t="str">
        <x:f>IF(NOT(ISNUMBER(B43)),"",IF(NOT(ISNUMBER(B42)),1,IF(B43=B42,H42,IF(I43=I42,H42+1,2))))</x:f>
      </x:c>
      <x:c r="I43" s="83" t="str">
        <x:f>IF(NOT(ISNUMBER(B43)),"",IF(NOT(ISNUMBER(B42)),0,IF(B43=B42,I42,SIGN(B43-B42))))</x:f>
      </x:c>
      <x:c r="J43" s="46"/>
      <x:c r="K43" s="83" t="str">
        <x:f>IF(NOT(ISNUMBER(B43)),"",IF(NOT(ISNUMBER($N$11)),"Complete 20-point baseline",IF($N$12&lt;'01 Setup'!$B$16,"Collect more points",IF(AND(E43&lt;&gt;0,F43&gt;='01 Setup'!$B$17),"Shift - investigate",IF(AND(B43&lt;&gt;B42,H43&gt;='01 Setup'!$B$18),"Trend - investigate","No screened signal")))))</x:f>
      </x:c>
      <x:c r="L43" s="3"/>
      <x:c r="M43" s="3"/>
      <x:c r="N43" s="3"/>
      <x:c r="O43" s="3"/>
      <x:c r="P43" s="3"/>
      <x:c r="Q43" s="3"/>
      <x:c r="R43" s="3"/>
    </x:row>
    <x:row r="44" ht="34" customHeight="1">
      <x:c r="A44" s="46" t="n">
        <x:v>35</x:v>
      </x:c>
      <x:c r="B44" s="110"/>
      <x:c r="C44" s="86" t="str">
        <x:f>IF(AND(ISNUMBER(B44),ISNUMBER($N$11)),$N$11,"")</x:f>
      </x:c>
      <x:c r="D44" s="86" t="str">
        <x:f>IF(AND(ISNUMBER(B44),ISNUMBER($N$10)),$N$10,"")</x:f>
      </x:c>
      <x:c r="E44" s="83" t="str">
        <x:f>IF(AND(ISNUMBER(B44),ISNUMBER($N$11)),SIGN(B44-$N$11),"")</x:f>
      </x:c>
      <x:c r="F44" s="83" t="str">
        <x:f>IF(NOT(ISNUMBER(E44)),"",IF(E44=0,IF(ISNUMBER(F43),F43,0),IF(E44=G43,IF(ISNUMBER(F43),F43+1,1),1)))</x:f>
      </x:c>
      <x:c r="G44" s="83" t="str">
        <x:f>IF(NOT(ISNUMBER(E44)),"",IF(E44=0,IF(ISNUMBER(G43),G43,0),E44))</x:f>
      </x:c>
      <x:c r="H44" s="83" t="str">
        <x:f>IF(NOT(ISNUMBER(B44)),"",IF(NOT(ISNUMBER(B43)),1,IF(B44=B43,H43,IF(I44=I43,H43+1,2))))</x:f>
      </x:c>
      <x:c r="I44" s="83" t="str">
        <x:f>IF(NOT(ISNUMBER(B44)),"",IF(NOT(ISNUMBER(B43)),0,IF(B44=B43,I43,SIGN(B44-B43))))</x:f>
      </x:c>
      <x:c r="J44" s="46"/>
      <x:c r="K44" s="83" t="str">
        <x:f>IF(NOT(ISNUMBER(B44)),"",IF(NOT(ISNUMBER($N$11)),"Complete 20-point baseline",IF($N$12&lt;'01 Setup'!$B$16,"Collect more points",IF(AND(E44&lt;&gt;0,F44&gt;='01 Setup'!$B$17),"Shift - investigate",IF(AND(B44&lt;&gt;B43,H44&gt;='01 Setup'!$B$18),"Trend - investigate","No screened signal")))))</x:f>
      </x:c>
      <x:c r="L44" s="3"/>
      <x:c r="M44" s="3"/>
      <x:c r="N44" s="3"/>
      <x:c r="O44" s="3"/>
      <x:c r="P44" s="3"/>
      <x:c r="Q44" s="3"/>
      <x:c r="R44" s="3"/>
    </x:row>
    <x:row r="45" ht="34" customHeight="1">
      <x:c r="A45" s="46" t="n">
        <x:v>36</x:v>
      </x:c>
      <x:c r="B45" s="110"/>
      <x:c r="C45" s="86" t="str">
        <x:f>IF(AND(ISNUMBER(B45),ISNUMBER($N$11)),$N$11,"")</x:f>
      </x:c>
      <x:c r="D45" s="86" t="str">
        <x:f>IF(AND(ISNUMBER(B45),ISNUMBER($N$10)),$N$10,"")</x:f>
      </x:c>
      <x:c r="E45" s="83" t="str">
        <x:f>IF(AND(ISNUMBER(B45),ISNUMBER($N$11)),SIGN(B45-$N$11),"")</x:f>
      </x:c>
      <x:c r="F45" s="83" t="str">
        <x:f>IF(NOT(ISNUMBER(E45)),"",IF(E45=0,IF(ISNUMBER(F44),F44,0),IF(E45=G44,IF(ISNUMBER(F44),F44+1,1),1)))</x:f>
      </x:c>
      <x:c r="G45" s="83" t="str">
        <x:f>IF(NOT(ISNUMBER(E45)),"",IF(E45=0,IF(ISNUMBER(G44),G44,0),E45))</x:f>
      </x:c>
      <x:c r="H45" s="83" t="str">
        <x:f>IF(NOT(ISNUMBER(B45)),"",IF(NOT(ISNUMBER(B44)),1,IF(B45=B44,H44,IF(I45=I44,H44+1,2))))</x:f>
      </x:c>
      <x:c r="I45" s="83" t="str">
        <x:f>IF(NOT(ISNUMBER(B45)),"",IF(NOT(ISNUMBER(B44)),0,IF(B45=B44,I44,SIGN(B45-B44))))</x:f>
      </x:c>
      <x:c r="J45" s="46"/>
      <x:c r="K45" s="83" t="str">
        <x:f>IF(NOT(ISNUMBER(B45)),"",IF(NOT(ISNUMBER($N$11)),"Complete 20-point baseline",IF($N$12&lt;'01 Setup'!$B$16,"Collect more points",IF(AND(E45&lt;&gt;0,F45&gt;='01 Setup'!$B$17),"Shift - investigate",IF(AND(B45&lt;&gt;B44,H45&gt;='01 Setup'!$B$18),"Trend - investigate","No screened signal")))))</x:f>
      </x:c>
      <x:c r="L45" s="3"/>
      <x:c r="M45" s="3"/>
      <x:c r="N45" s="3"/>
      <x:c r="O45" s="3"/>
      <x:c r="P45" s="3"/>
      <x:c r="Q45" s="3"/>
      <x:c r="R45" s="3"/>
    </x:row>
    <x:row r="46" ht="34" customHeight="1">
      <x:c r="A46" s="46" t="n">
        <x:v>37</x:v>
      </x:c>
      <x:c r="B46" s="110"/>
      <x:c r="C46" s="86" t="str">
        <x:f>IF(AND(ISNUMBER(B46),ISNUMBER($N$11)),$N$11,"")</x:f>
      </x:c>
      <x:c r="D46" s="86" t="str">
        <x:f>IF(AND(ISNUMBER(B46),ISNUMBER($N$10)),$N$10,"")</x:f>
      </x:c>
      <x:c r="E46" s="83" t="str">
        <x:f>IF(AND(ISNUMBER(B46),ISNUMBER($N$11)),SIGN(B46-$N$11),"")</x:f>
      </x:c>
      <x:c r="F46" s="83" t="str">
        <x:f>IF(NOT(ISNUMBER(E46)),"",IF(E46=0,IF(ISNUMBER(F45),F45,0),IF(E46=G45,IF(ISNUMBER(F45),F45+1,1),1)))</x:f>
      </x:c>
      <x:c r="G46" s="83" t="str">
        <x:f>IF(NOT(ISNUMBER(E46)),"",IF(E46=0,IF(ISNUMBER(G45),G45,0),E46))</x:f>
      </x:c>
      <x:c r="H46" s="83" t="str">
        <x:f>IF(NOT(ISNUMBER(B46)),"",IF(NOT(ISNUMBER(B45)),1,IF(B46=B45,H45,IF(I46=I45,H45+1,2))))</x:f>
      </x:c>
      <x:c r="I46" s="83" t="str">
        <x:f>IF(NOT(ISNUMBER(B46)),"",IF(NOT(ISNUMBER(B45)),0,IF(B46=B45,I45,SIGN(B46-B45))))</x:f>
      </x:c>
      <x:c r="J46" s="46"/>
      <x:c r="K46" s="83" t="str">
        <x:f>IF(NOT(ISNUMBER(B46)),"",IF(NOT(ISNUMBER($N$11)),"Complete 20-point baseline",IF($N$12&lt;'01 Setup'!$B$16,"Collect more points",IF(AND(E46&lt;&gt;0,F46&gt;='01 Setup'!$B$17),"Shift - investigate",IF(AND(B46&lt;&gt;B45,H46&gt;='01 Setup'!$B$18),"Trend - investigate","No screened signal")))))</x:f>
      </x:c>
      <x:c r="L46" s="3"/>
      <x:c r="M46" s="3"/>
      <x:c r="N46" s="3"/>
      <x:c r="O46" s="3"/>
      <x:c r="P46" s="3"/>
      <x:c r="Q46" s="3"/>
      <x:c r="R46" s="3"/>
    </x:row>
    <x:row r="47" ht="34" customHeight="1">
      <x:c r="A47" s="46" t="n">
        <x:v>38</x:v>
      </x:c>
      <x:c r="B47" s="110"/>
      <x:c r="C47" s="86" t="str">
        <x:f>IF(AND(ISNUMBER(B47),ISNUMBER($N$11)),$N$11,"")</x:f>
      </x:c>
      <x:c r="D47" s="86" t="str">
        <x:f>IF(AND(ISNUMBER(B47),ISNUMBER($N$10)),$N$10,"")</x:f>
      </x:c>
      <x:c r="E47" s="83" t="str">
        <x:f>IF(AND(ISNUMBER(B47),ISNUMBER($N$11)),SIGN(B47-$N$11),"")</x:f>
      </x:c>
      <x:c r="F47" s="83" t="str">
        <x:f>IF(NOT(ISNUMBER(E47)),"",IF(E47=0,IF(ISNUMBER(F46),F46,0),IF(E47=G46,IF(ISNUMBER(F46),F46+1,1),1)))</x:f>
      </x:c>
      <x:c r="G47" s="83" t="str">
        <x:f>IF(NOT(ISNUMBER(E47)),"",IF(E47=0,IF(ISNUMBER(G46),G46,0),E47))</x:f>
      </x:c>
      <x:c r="H47" s="83" t="str">
        <x:f>IF(NOT(ISNUMBER(B47)),"",IF(NOT(ISNUMBER(B46)),1,IF(B47=B46,H46,IF(I47=I46,H46+1,2))))</x:f>
      </x:c>
      <x:c r="I47" s="83" t="str">
        <x:f>IF(NOT(ISNUMBER(B47)),"",IF(NOT(ISNUMBER(B46)),0,IF(B47=B46,I46,SIGN(B47-B46))))</x:f>
      </x:c>
      <x:c r="J47" s="46"/>
      <x:c r="K47" s="83" t="str">
        <x:f>IF(NOT(ISNUMBER(B47)),"",IF(NOT(ISNUMBER($N$11)),"Complete 20-point baseline",IF($N$12&lt;'01 Setup'!$B$16,"Collect more points",IF(AND(E47&lt;&gt;0,F47&gt;='01 Setup'!$B$17),"Shift - investigate",IF(AND(B47&lt;&gt;B46,H47&gt;='01 Setup'!$B$18),"Trend - investigate","No screened signal")))))</x:f>
      </x:c>
      <x:c r="L47" s="3"/>
      <x:c r="M47" s="3"/>
      <x:c r="N47" s="3"/>
      <x:c r="O47" s="3"/>
      <x:c r="P47" s="3"/>
      <x:c r="Q47" s="3"/>
      <x:c r="R47" s="3"/>
    </x:row>
    <x:row r="48" ht="34" customHeight="1">
      <x:c r="A48" s="46" t="n">
        <x:v>39</x:v>
      </x:c>
      <x:c r="B48" s="110"/>
      <x:c r="C48" s="86" t="str">
        <x:f>IF(AND(ISNUMBER(B48),ISNUMBER($N$11)),$N$11,"")</x:f>
      </x:c>
      <x:c r="D48" s="86" t="str">
        <x:f>IF(AND(ISNUMBER(B48),ISNUMBER($N$10)),$N$10,"")</x:f>
      </x:c>
      <x:c r="E48" s="83" t="str">
        <x:f>IF(AND(ISNUMBER(B48),ISNUMBER($N$11)),SIGN(B48-$N$11),"")</x:f>
      </x:c>
      <x:c r="F48" s="83" t="str">
        <x:f>IF(NOT(ISNUMBER(E48)),"",IF(E48=0,IF(ISNUMBER(F47),F47,0),IF(E48=G47,IF(ISNUMBER(F47),F47+1,1),1)))</x:f>
      </x:c>
      <x:c r="G48" s="83" t="str">
        <x:f>IF(NOT(ISNUMBER(E48)),"",IF(E48=0,IF(ISNUMBER(G47),G47,0),E48))</x:f>
      </x:c>
      <x:c r="H48" s="83" t="str">
        <x:f>IF(NOT(ISNUMBER(B48)),"",IF(NOT(ISNUMBER(B47)),1,IF(B48=B47,H47,IF(I48=I47,H47+1,2))))</x:f>
      </x:c>
      <x:c r="I48" s="83" t="str">
        <x:f>IF(NOT(ISNUMBER(B48)),"",IF(NOT(ISNUMBER(B47)),0,IF(B48=B47,I47,SIGN(B48-B47))))</x:f>
      </x:c>
      <x:c r="J48" s="46"/>
      <x:c r="K48" s="83" t="str">
        <x:f>IF(NOT(ISNUMBER(B48)),"",IF(NOT(ISNUMBER($N$11)),"Complete 20-point baseline",IF($N$12&lt;'01 Setup'!$B$16,"Collect more points",IF(AND(E48&lt;&gt;0,F48&gt;='01 Setup'!$B$17),"Shift - investigate",IF(AND(B48&lt;&gt;B47,H48&gt;='01 Setup'!$B$18),"Trend - investigate","No screened signal")))))</x:f>
      </x:c>
      <x:c r="L48" s="3"/>
      <x:c r="M48" s="3"/>
      <x:c r="N48" s="3"/>
      <x:c r="O48" s="3"/>
      <x:c r="P48" s="3"/>
      <x:c r="Q48" s="3"/>
      <x:c r="R48" s="3"/>
    </x:row>
    <x:row r="49" ht="34" customHeight="1">
      <x:c r="A49" s="46" t="n">
        <x:v>40</x:v>
      </x:c>
      <x:c r="B49" s="110"/>
      <x:c r="C49" s="86" t="str">
        <x:f>IF(AND(ISNUMBER(B49),ISNUMBER($N$11)),$N$11,"")</x:f>
      </x:c>
      <x:c r="D49" s="86" t="str">
        <x:f>IF(AND(ISNUMBER(B49),ISNUMBER($N$10)),$N$10,"")</x:f>
      </x:c>
      <x:c r="E49" s="83" t="str">
        <x:f>IF(AND(ISNUMBER(B49),ISNUMBER($N$11)),SIGN(B49-$N$11),"")</x:f>
      </x:c>
      <x:c r="F49" s="83" t="str">
        <x:f>IF(NOT(ISNUMBER(E49)),"",IF(E49=0,IF(ISNUMBER(F48),F48,0),IF(E49=G48,IF(ISNUMBER(F48),F48+1,1),1)))</x:f>
      </x:c>
      <x:c r="G49" s="83" t="str">
        <x:f>IF(NOT(ISNUMBER(E49)),"",IF(E49=0,IF(ISNUMBER(G48),G48,0),E49))</x:f>
      </x:c>
      <x:c r="H49" s="83" t="str">
        <x:f>IF(NOT(ISNUMBER(B49)),"",IF(NOT(ISNUMBER(B48)),1,IF(B49=B48,H48,IF(I49=I48,H48+1,2))))</x:f>
      </x:c>
      <x:c r="I49" s="83" t="str">
        <x:f>IF(NOT(ISNUMBER(B49)),"",IF(NOT(ISNUMBER(B48)),0,IF(B49=B48,I48,SIGN(B49-B48))))</x:f>
      </x:c>
      <x:c r="J49" s="46"/>
      <x:c r="K49" s="83" t="str">
        <x:f>IF(NOT(ISNUMBER(B49)),"",IF(NOT(ISNUMBER($N$11)),"Complete 20-point baseline",IF($N$12&lt;'01 Setup'!$B$16,"Collect more points",IF(AND(E49&lt;&gt;0,F49&gt;='01 Setup'!$B$17),"Shift - investigate",IF(AND(B49&lt;&gt;B48,H49&gt;='01 Setup'!$B$18),"Trend - investigate","No screened signal")))))</x:f>
      </x:c>
      <x:c r="L49" s="3"/>
      <x:c r="M49" s="3"/>
      <x:c r="N49" s="3"/>
      <x:c r="O49" s="3"/>
      <x:c r="P49" s="3"/>
      <x:c r="Q49" s="3"/>
      <x:c r="R49" s="3"/>
    </x:row>
    <x:row r="50" ht="34" customHeight="1">
      <x:c r="A50" s="46" t="n">
        <x:v>41</x:v>
      </x:c>
      <x:c r="B50" s="110"/>
      <x:c r="C50" s="86" t="str">
        <x:f>IF(AND(ISNUMBER(B50),ISNUMBER($N$11)),$N$11,"")</x:f>
      </x:c>
      <x:c r="D50" s="86" t="str">
        <x:f>IF(AND(ISNUMBER(B50),ISNUMBER($N$10)),$N$10,"")</x:f>
      </x:c>
      <x:c r="E50" s="83" t="str">
        <x:f>IF(AND(ISNUMBER(B50),ISNUMBER($N$11)),SIGN(B50-$N$11),"")</x:f>
      </x:c>
      <x:c r="F50" s="83" t="str">
        <x:f>IF(NOT(ISNUMBER(E50)),"",IF(E50=0,IF(ISNUMBER(F49),F49,0),IF(E50=G49,IF(ISNUMBER(F49),F49+1,1),1)))</x:f>
      </x:c>
      <x:c r="G50" s="83" t="str">
        <x:f>IF(NOT(ISNUMBER(E50)),"",IF(E50=0,IF(ISNUMBER(G49),G49,0),E50))</x:f>
      </x:c>
      <x:c r="H50" s="83" t="str">
        <x:f>IF(NOT(ISNUMBER(B50)),"",IF(NOT(ISNUMBER(B49)),1,IF(B50=B49,H49,IF(I50=I49,H49+1,2))))</x:f>
      </x:c>
      <x:c r="I50" s="83" t="str">
        <x:f>IF(NOT(ISNUMBER(B50)),"",IF(NOT(ISNUMBER(B49)),0,IF(B50=B49,I49,SIGN(B50-B49))))</x:f>
      </x:c>
      <x:c r="J50" s="46"/>
      <x:c r="K50" s="83" t="str">
        <x:f>IF(NOT(ISNUMBER(B50)),"",IF(NOT(ISNUMBER($N$11)),"Complete 20-point baseline",IF($N$12&lt;'01 Setup'!$B$16,"Collect more points",IF(AND(E50&lt;&gt;0,F50&gt;='01 Setup'!$B$17),"Shift - investigate",IF(AND(B50&lt;&gt;B49,H50&gt;='01 Setup'!$B$18),"Trend - investigate","No screened signal")))))</x:f>
      </x:c>
      <x:c r="L50" s="3"/>
      <x:c r="M50" s="3"/>
      <x:c r="N50" s="3"/>
      <x:c r="O50" s="3"/>
      <x:c r="P50" s="3"/>
      <x:c r="Q50" s="3"/>
      <x:c r="R50" s="3"/>
    </x:row>
    <x:row r="51" ht="34" customHeight="1">
      <x:c r="A51" s="46" t="n">
        <x:v>42</x:v>
      </x:c>
      <x:c r="B51" s="110"/>
      <x:c r="C51" s="86" t="str">
        <x:f>IF(AND(ISNUMBER(B51),ISNUMBER($N$11)),$N$11,"")</x:f>
      </x:c>
      <x:c r="D51" s="86" t="str">
        <x:f>IF(AND(ISNUMBER(B51),ISNUMBER($N$10)),$N$10,"")</x:f>
      </x:c>
      <x:c r="E51" s="83" t="str">
        <x:f>IF(AND(ISNUMBER(B51),ISNUMBER($N$11)),SIGN(B51-$N$11),"")</x:f>
      </x:c>
      <x:c r="F51" s="83" t="str">
        <x:f>IF(NOT(ISNUMBER(E51)),"",IF(E51=0,IF(ISNUMBER(F50),F50,0),IF(E51=G50,IF(ISNUMBER(F50),F50+1,1),1)))</x:f>
      </x:c>
      <x:c r="G51" s="83" t="str">
        <x:f>IF(NOT(ISNUMBER(E51)),"",IF(E51=0,IF(ISNUMBER(G50),G50,0),E51))</x:f>
      </x:c>
      <x:c r="H51" s="83" t="str">
        <x:f>IF(NOT(ISNUMBER(B51)),"",IF(NOT(ISNUMBER(B50)),1,IF(B51=B50,H50,IF(I51=I50,H50+1,2))))</x:f>
      </x:c>
      <x:c r="I51" s="83" t="str">
        <x:f>IF(NOT(ISNUMBER(B51)),"",IF(NOT(ISNUMBER(B50)),0,IF(B51=B50,I50,SIGN(B51-B50))))</x:f>
      </x:c>
      <x:c r="J51" s="46"/>
      <x:c r="K51" s="83" t="str">
        <x:f>IF(NOT(ISNUMBER(B51)),"",IF(NOT(ISNUMBER($N$11)),"Complete 20-point baseline",IF($N$12&lt;'01 Setup'!$B$16,"Collect more points",IF(AND(E51&lt;&gt;0,F51&gt;='01 Setup'!$B$17),"Shift - investigate",IF(AND(B51&lt;&gt;B50,H51&gt;='01 Setup'!$B$18),"Trend - investigate","No screened signal")))))</x:f>
      </x:c>
      <x:c r="L51" s="3"/>
      <x:c r="M51" s="3"/>
      <x:c r="N51" s="3"/>
      <x:c r="O51" s="3"/>
      <x:c r="P51" s="3"/>
      <x:c r="Q51" s="3"/>
      <x:c r="R51" s="3"/>
    </x:row>
    <x:row r="52" ht="34" customHeight="1">
      <x:c r="A52" s="46" t="n">
        <x:v>43</x:v>
      </x:c>
      <x:c r="B52" s="110"/>
      <x:c r="C52" s="86" t="str">
        <x:f>IF(AND(ISNUMBER(B52),ISNUMBER($N$11)),$N$11,"")</x:f>
      </x:c>
      <x:c r="D52" s="86" t="str">
        <x:f>IF(AND(ISNUMBER(B52),ISNUMBER($N$10)),$N$10,"")</x:f>
      </x:c>
      <x:c r="E52" s="83" t="str">
        <x:f>IF(AND(ISNUMBER(B52),ISNUMBER($N$11)),SIGN(B52-$N$11),"")</x:f>
      </x:c>
      <x:c r="F52" s="83" t="str">
        <x:f>IF(NOT(ISNUMBER(E52)),"",IF(E52=0,IF(ISNUMBER(F51),F51,0),IF(E52=G51,IF(ISNUMBER(F51),F51+1,1),1)))</x:f>
      </x:c>
      <x:c r="G52" s="83" t="str">
        <x:f>IF(NOT(ISNUMBER(E52)),"",IF(E52=0,IF(ISNUMBER(G51),G51,0),E52))</x:f>
      </x:c>
      <x:c r="H52" s="83" t="str">
        <x:f>IF(NOT(ISNUMBER(B52)),"",IF(NOT(ISNUMBER(B51)),1,IF(B52=B51,H51,IF(I52=I51,H51+1,2))))</x:f>
      </x:c>
      <x:c r="I52" s="83" t="str">
        <x:f>IF(NOT(ISNUMBER(B52)),"",IF(NOT(ISNUMBER(B51)),0,IF(B52=B51,I51,SIGN(B52-B51))))</x:f>
      </x:c>
      <x:c r="J52" s="46"/>
      <x:c r="K52" s="83" t="str">
        <x:f>IF(NOT(ISNUMBER(B52)),"",IF(NOT(ISNUMBER($N$11)),"Complete 20-point baseline",IF($N$12&lt;'01 Setup'!$B$16,"Collect more points",IF(AND(E52&lt;&gt;0,F52&gt;='01 Setup'!$B$17),"Shift - investigate",IF(AND(B52&lt;&gt;B51,H52&gt;='01 Setup'!$B$18),"Trend - investigate","No screened signal")))))</x:f>
      </x:c>
      <x:c r="L52" s="3"/>
      <x:c r="M52" s="3"/>
      <x:c r="N52" s="3"/>
      <x:c r="O52" s="3"/>
      <x:c r="P52" s="3"/>
      <x:c r="Q52" s="3"/>
      <x:c r="R52" s="3"/>
    </x:row>
    <x:row r="53" ht="34" customHeight="1">
      <x:c r="A53" s="46" t="n">
        <x:v>44</x:v>
      </x:c>
      <x:c r="B53" s="110"/>
      <x:c r="C53" s="86" t="str">
        <x:f>IF(AND(ISNUMBER(B53),ISNUMBER($N$11)),$N$11,"")</x:f>
      </x:c>
      <x:c r="D53" s="86" t="str">
        <x:f>IF(AND(ISNUMBER(B53),ISNUMBER($N$10)),$N$10,"")</x:f>
      </x:c>
      <x:c r="E53" s="83" t="str">
        <x:f>IF(AND(ISNUMBER(B53),ISNUMBER($N$11)),SIGN(B53-$N$11),"")</x:f>
      </x:c>
      <x:c r="F53" s="83" t="str">
        <x:f>IF(NOT(ISNUMBER(E53)),"",IF(E53=0,IF(ISNUMBER(F52),F52,0),IF(E53=G52,IF(ISNUMBER(F52),F52+1,1),1)))</x:f>
      </x:c>
      <x:c r="G53" s="83" t="str">
        <x:f>IF(NOT(ISNUMBER(E53)),"",IF(E53=0,IF(ISNUMBER(G52),G52,0),E53))</x:f>
      </x:c>
      <x:c r="H53" s="83" t="str">
        <x:f>IF(NOT(ISNUMBER(B53)),"",IF(NOT(ISNUMBER(B52)),1,IF(B53=B52,H52,IF(I53=I52,H52+1,2))))</x:f>
      </x:c>
      <x:c r="I53" s="83" t="str">
        <x:f>IF(NOT(ISNUMBER(B53)),"",IF(NOT(ISNUMBER(B52)),0,IF(B53=B52,I52,SIGN(B53-B52))))</x:f>
      </x:c>
      <x:c r="J53" s="46"/>
      <x:c r="K53" s="83" t="str">
        <x:f>IF(NOT(ISNUMBER(B53)),"",IF(NOT(ISNUMBER($N$11)),"Complete 20-point baseline",IF($N$12&lt;'01 Setup'!$B$16,"Collect more points",IF(AND(E53&lt;&gt;0,F53&gt;='01 Setup'!$B$17),"Shift - investigate",IF(AND(B53&lt;&gt;B52,H53&gt;='01 Setup'!$B$18),"Trend - investigate","No screened signal")))))</x:f>
      </x:c>
      <x:c r="L53" s="3"/>
      <x:c r="M53" s="3"/>
      <x:c r="N53" s="3"/>
      <x:c r="O53" s="3"/>
      <x:c r="P53" s="3"/>
      <x:c r="Q53" s="3"/>
      <x:c r="R53" s="3"/>
    </x:row>
    <x:row r="54" ht="34" customHeight="1">
      <x:c r="A54" s="46" t="n">
        <x:v>45</x:v>
      </x:c>
      <x:c r="B54" s="110"/>
      <x:c r="C54" s="86" t="str">
        <x:f>IF(AND(ISNUMBER(B54),ISNUMBER($N$11)),$N$11,"")</x:f>
      </x:c>
      <x:c r="D54" s="86" t="str">
        <x:f>IF(AND(ISNUMBER(B54),ISNUMBER($N$10)),$N$10,"")</x:f>
      </x:c>
      <x:c r="E54" s="83" t="str">
        <x:f>IF(AND(ISNUMBER(B54),ISNUMBER($N$11)),SIGN(B54-$N$11),"")</x:f>
      </x:c>
      <x:c r="F54" s="83" t="str">
        <x:f>IF(NOT(ISNUMBER(E54)),"",IF(E54=0,IF(ISNUMBER(F53),F53,0),IF(E54=G53,IF(ISNUMBER(F53),F53+1,1),1)))</x:f>
      </x:c>
      <x:c r="G54" s="83" t="str">
        <x:f>IF(NOT(ISNUMBER(E54)),"",IF(E54=0,IF(ISNUMBER(G53),G53,0),E54))</x:f>
      </x:c>
      <x:c r="H54" s="83" t="str">
        <x:f>IF(NOT(ISNUMBER(B54)),"",IF(NOT(ISNUMBER(B53)),1,IF(B54=B53,H53,IF(I54=I53,H53+1,2))))</x:f>
      </x:c>
      <x:c r="I54" s="83" t="str">
        <x:f>IF(NOT(ISNUMBER(B54)),"",IF(NOT(ISNUMBER(B53)),0,IF(B54=B53,I53,SIGN(B54-B53))))</x:f>
      </x:c>
      <x:c r="J54" s="46"/>
      <x:c r="K54" s="83" t="str">
        <x:f>IF(NOT(ISNUMBER(B54)),"",IF(NOT(ISNUMBER($N$11)),"Complete 20-point baseline",IF($N$12&lt;'01 Setup'!$B$16,"Collect more points",IF(AND(E54&lt;&gt;0,F54&gt;='01 Setup'!$B$17),"Shift - investigate",IF(AND(B54&lt;&gt;B53,H54&gt;='01 Setup'!$B$18),"Trend - investigate","No screened signal")))))</x:f>
      </x:c>
      <x:c r="L54" s="3"/>
      <x:c r="M54" s="3"/>
      <x:c r="N54" s="3"/>
      <x:c r="O54" s="3"/>
      <x:c r="P54" s="3"/>
      <x:c r="Q54" s="3"/>
      <x:c r="R54" s="3"/>
    </x:row>
    <x:row r="55" ht="34" customHeight="1">
      <x:c r="A55" s="46" t="n">
        <x:v>46</x:v>
      </x:c>
      <x:c r="B55" s="110"/>
      <x:c r="C55" s="86" t="str">
        <x:f>IF(AND(ISNUMBER(B55),ISNUMBER($N$11)),$N$11,"")</x:f>
      </x:c>
      <x:c r="D55" s="86" t="str">
        <x:f>IF(AND(ISNUMBER(B55),ISNUMBER($N$10)),$N$10,"")</x:f>
      </x:c>
      <x:c r="E55" s="83" t="str">
        <x:f>IF(AND(ISNUMBER(B55),ISNUMBER($N$11)),SIGN(B55-$N$11),"")</x:f>
      </x:c>
      <x:c r="F55" s="83" t="str">
        <x:f>IF(NOT(ISNUMBER(E55)),"",IF(E55=0,IF(ISNUMBER(F54),F54,0),IF(E55=G54,IF(ISNUMBER(F54),F54+1,1),1)))</x:f>
      </x:c>
      <x:c r="G55" s="83" t="str">
        <x:f>IF(NOT(ISNUMBER(E55)),"",IF(E55=0,IF(ISNUMBER(G54),G54,0),E55))</x:f>
      </x:c>
      <x:c r="H55" s="83" t="str">
        <x:f>IF(NOT(ISNUMBER(B55)),"",IF(NOT(ISNUMBER(B54)),1,IF(B55=B54,H54,IF(I55=I54,H54+1,2))))</x:f>
      </x:c>
      <x:c r="I55" s="83" t="str">
        <x:f>IF(NOT(ISNUMBER(B55)),"",IF(NOT(ISNUMBER(B54)),0,IF(B55=B54,I54,SIGN(B55-B54))))</x:f>
      </x:c>
      <x:c r="J55" s="46"/>
      <x:c r="K55" s="83" t="str">
        <x:f>IF(NOT(ISNUMBER(B55)),"",IF(NOT(ISNUMBER($N$11)),"Complete 20-point baseline",IF($N$12&lt;'01 Setup'!$B$16,"Collect more points",IF(AND(E55&lt;&gt;0,F55&gt;='01 Setup'!$B$17),"Shift - investigate",IF(AND(B55&lt;&gt;B54,H55&gt;='01 Setup'!$B$18),"Trend - investigate","No screened signal")))))</x:f>
      </x:c>
      <x:c r="L55" s="3"/>
      <x:c r="M55" s="3"/>
      <x:c r="N55" s="3"/>
      <x:c r="O55" s="3"/>
      <x:c r="P55" s="3"/>
      <x:c r="Q55" s="3"/>
      <x:c r="R55" s="3"/>
    </x:row>
    <x:row r="56" ht="34" customHeight="1">
      <x:c r="A56" s="46" t="n">
        <x:v>47</x:v>
      </x:c>
      <x:c r="B56" s="110"/>
      <x:c r="C56" s="86" t="str">
        <x:f>IF(AND(ISNUMBER(B56),ISNUMBER($N$11)),$N$11,"")</x:f>
      </x:c>
      <x:c r="D56" s="86" t="str">
        <x:f>IF(AND(ISNUMBER(B56),ISNUMBER($N$10)),$N$10,"")</x:f>
      </x:c>
      <x:c r="E56" s="83" t="str">
        <x:f>IF(AND(ISNUMBER(B56),ISNUMBER($N$11)),SIGN(B56-$N$11),"")</x:f>
      </x:c>
      <x:c r="F56" s="83" t="str">
        <x:f>IF(NOT(ISNUMBER(E56)),"",IF(E56=0,IF(ISNUMBER(F55),F55,0),IF(E56=G55,IF(ISNUMBER(F55),F55+1,1),1)))</x:f>
      </x:c>
      <x:c r="G56" s="83" t="str">
        <x:f>IF(NOT(ISNUMBER(E56)),"",IF(E56=0,IF(ISNUMBER(G55),G55,0),E56))</x:f>
      </x:c>
      <x:c r="H56" s="83" t="str">
        <x:f>IF(NOT(ISNUMBER(B56)),"",IF(NOT(ISNUMBER(B55)),1,IF(B56=B55,H55,IF(I56=I55,H55+1,2))))</x:f>
      </x:c>
      <x:c r="I56" s="83" t="str">
        <x:f>IF(NOT(ISNUMBER(B56)),"",IF(NOT(ISNUMBER(B55)),0,IF(B56=B55,I55,SIGN(B56-B55))))</x:f>
      </x:c>
      <x:c r="J56" s="46"/>
      <x:c r="K56" s="83" t="str">
        <x:f>IF(NOT(ISNUMBER(B56)),"",IF(NOT(ISNUMBER($N$11)),"Complete 20-point baseline",IF($N$12&lt;'01 Setup'!$B$16,"Collect more points",IF(AND(E56&lt;&gt;0,F56&gt;='01 Setup'!$B$17),"Shift - investigate",IF(AND(B56&lt;&gt;B55,H56&gt;='01 Setup'!$B$18),"Trend - investigate","No screened signal")))))</x:f>
      </x:c>
      <x:c r="L56" s="3"/>
      <x:c r="M56" s="3"/>
      <x:c r="N56" s="3"/>
      <x:c r="O56" s="3"/>
      <x:c r="P56" s="3"/>
      <x:c r="Q56" s="3"/>
      <x:c r="R56" s="3"/>
    </x:row>
    <x:row r="57" ht="34" customHeight="1">
      <x:c r="A57" s="46" t="n">
        <x:v>48</x:v>
      </x:c>
      <x:c r="B57" s="110"/>
      <x:c r="C57" s="86" t="str">
        <x:f>IF(AND(ISNUMBER(B57),ISNUMBER($N$11)),$N$11,"")</x:f>
      </x:c>
      <x:c r="D57" s="86" t="str">
        <x:f>IF(AND(ISNUMBER(B57),ISNUMBER($N$10)),$N$10,"")</x:f>
      </x:c>
      <x:c r="E57" s="83" t="str">
        <x:f>IF(AND(ISNUMBER(B57),ISNUMBER($N$11)),SIGN(B57-$N$11),"")</x:f>
      </x:c>
      <x:c r="F57" s="83" t="str">
        <x:f>IF(NOT(ISNUMBER(E57)),"",IF(E57=0,IF(ISNUMBER(F56),F56,0),IF(E57=G56,IF(ISNUMBER(F56),F56+1,1),1)))</x:f>
      </x:c>
      <x:c r="G57" s="83" t="str">
        <x:f>IF(NOT(ISNUMBER(E57)),"",IF(E57=0,IF(ISNUMBER(G56),G56,0),E57))</x:f>
      </x:c>
      <x:c r="H57" s="83" t="str">
        <x:f>IF(NOT(ISNUMBER(B57)),"",IF(NOT(ISNUMBER(B56)),1,IF(B57=B56,H56,IF(I57=I56,H56+1,2))))</x:f>
      </x:c>
      <x:c r="I57" s="83" t="str">
        <x:f>IF(NOT(ISNUMBER(B57)),"",IF(NOT(ISNUMBER(B56)),0,IF(B57=B56,I56,SIGN(B57-B56))))</x:f>
      </x:c>
      <x:c r="J57" s="46"/>
      <x:c r="K57" s="83" t="str">
        <x:f>IF(NOT(ISNUMBER(B57)),"",IF(NOT(ISNUMBER($N$11)),"Complete 20-point baseline",IF($N$12&lt;'01 Setup'!$B$16,"Collect more points",IF(AND(E57&lt;&gt;0,F57&gt;='01 Setup'!$B$17),"Shift - investigate",IF(AND(B57&lt;&gt;B56,H57&gt;='01 Setup'!$B$18),"Trend - investigate","No screened signal")))))</x:f>
      </x:c>
      <x:c r="L57" s="3"/>
      <x:c r="M57" s="3"/>
      <x:c r="N57" s="3"/>
      <x:c r="O57" s="3"/>
      <x:c r="P57" s="3"/>
      <x:c r="Q57" s="3"/>
      <x:c r="R57" s="3"/>
    </x:row>
    <x:row r="58" ht="34" customHeight="1">
      <x:c r="A58" s="46" t="n">
        <x:v>49</x:v>
      </x:c>
      <x:c r="B58" s="110"/>
      <x:c r="C58" s="86" t="str">
        <x:f>IF(AND(ISNUMBER(B58),ISNUMBER($N$11)),$N$11,"")</x:f>
      </x:c>
      <x:c r="D58" s="86" t="str">
        <x:f>IF(AND(ISNUMBER(B58),ISNUMBER($N$10)),$N$10,"")</x:f>
      </x:c>
      <x:c r="E58" s="83" t="str">
        <x:f>IF(AND(ISNUMBER(B58),ISNUMBER($N$11)),SIGN(B58-$N$11),"")</x:f>
      </x:c>
      <x:c r="F58" s="83" t="str">
        <x:f>IF(NOT(ISNUMBER(E58)),"",IF(E58=0,IF(ISNUMBER(F57),F57,0),IF(E58=G57,IF(ISNUMBER(F57),F57+1,1),1)))</x:f>
      </x:c>
      <x:c r="G58" s="83" t="str">
        <x:f>IF(NOT(ISNUMBER(E58)),"",IF(E58=0,IF(ISNUMBER(G57),G57,0),E58))</x:f>
      </x:c>
      <x:c r="H58" s="83" t="str">
        <x:f>IF(NOT(ISNUMBER(B58)),"",IF(NOT(ISNUMBER(B57)),1,IF(B58=B57,H57,IF(I58=I57,H57+1,2))))</x:f>
      </x:c>
      <x:c r="I58" s="83" t="str">
        <x:f>IF(NOT(ISNUMBER(B58)),"",IF(NOT(ISNUMBER(B57)),0,IF(B58=B57,I57,SIGN(B58-B57))))</x:f>
      </x:c>
      <x:c r="J58" s="46"/>
      <x:c r="K58" s="83" t="str">
        <x:f>IF(NOT(ISNUMBER(B58)),"",IF(NOT(ISNUMBER($N$11)),"Complete 20-point baseline",IF($N$12&lt;'01 Setup'!$B$16,"Collect more points",IF(AND(E58&lt;&gt;0,F58&gt;='01 Setup'!$B$17),"Shift - investigate",IF(AND(B58&lt;&gt;B57,H58&gt;='01 Setup'!$B$18),"Trend - investigate","No screened signal")))))</x:f>
      </x:c>
      <x:c r="L58" s="3"/>
      <x:c r="M58" s="3"/>
      <x:c r="N58" s="3"/>
      <x:c r="O58" s="3"/>
      <x:c r="P58" s="3"/>
      <x:c r="Q58" s="3"/>
      <x:c r="R58" s="3"/>
    </x:row>
    <x:row r="59" ht="34" customHeight="1">
      <x:c r="A59" s="46" t="n">
        <x:v>50</x:v>
      </x:c>
      <x:c r="B59" s="110"/>
      <x:c r="C59" s="86" t="str">
        <x:f>IF(AND(ISNUMBER(B59),ISNUMBER($N$11)),$N$11,"")</x:f>
      </x:c>
      <x:c r="D59" s="86" t="str">
        <x:f>IF(AND(ISNUMBER(B59),ISNUMBER($N$10)),$N$10,"")</x:f>
      </x:c>
      <x:c r="E59" s="83" t="str">
        <x:f>IF(AND(ISNUMBER(B59),ISNUMBER($N$11)),SIGN(B59-$N$11),"")</x:f>
      </x:c>
      <x:c r="F59" s="83" t="str">
        <x:f>IF(NOT(ISNUMBER(E59)),"",IF(E59=0,IF(ISNUMBER(F58),F58,0),IF(E59=G58,IF(ISNUMBER(F58),F58+1,1),1)))</x:f>
      </x:c>
      <x:c r="G59" s="83" t="str">
        <x:f>IF(NOT(ISNUMBER(E59)),"",IF(E59=0,IF(ISNUMBER(G58),G58,0),E59))</x:f>
      </x:c>
      <x:c r="H59" s="83" t="str">
        <x:f>IF(NOT(ISNUMBER(B59)),"",IF(NOT(ISNUMBER(B58)),1,IF(B59=B58,H58,IF(I59=I58,H58+1,2))))</x:f>
      </x:c>
      <x:c r="I59" s="83" t="str">
        <x:f>IF(NOT(ISNUMBER(B59)),"",IF(NOT(ISNUMBER(B58)),0,IF(B59=B58,I58,SIGN(B59-B58))))</x:f>
      </x:c>
      <x:c r="J59" s="46"/>
      <x:c r="K59" s="83" t="str">
        <x:f>IF(NOT(ISNUMBER(B59)),"",IF(NOT(ISNUMBER($N$11)),"Complete 20-point baseline",IF($N$12&lt;'01 Setup'!$B$16,"Collect more points",IF(AND(E59&lt;&gt;0,F59&gt;='01 Setup'!$B$17),"Shift - investigate",IF(AND(B59&lt;&gt;B58,H59&gt;='01 Setup'!$B$18),"Trend - investigate","No screened signal")))))</x:f>
      </x:c>
      <x:c r="L59" s="3"/>
      <x:c r="M59" s="3"/>
      <x:c r="N59" s="3"/>
      <x:c r="O59" s="3"/>
      <x:c r="P59" s="3"/>
      <x:c r="Q59" s="3"/>
      <x:c r="R59" s="3"/>
    </x:row>
    <x:row r="60" ht="34" customHeight="1">
      <x:c r="A60" s="46" t="n">
        <x:v>51</x:v>
      </x:c>
      <x:c r="B60" s="110"/>
      <x:c r="C60" s="86" t="str">
        <x:f>IF(AND(ISNUMBER(B60),ISNUMBER($N$11)),$N$11,"")</x:f>
      </x:c>
      <x:c r="D60" s="86" t="str">
        <x:f>IF(AND(ISNUMBER(B60),ISNUMBER($N$10)),$N$10,"")</x:f>
      </x:c>
      <x:c r="E60" s="83" t="str">
        <x:f>IF(AND(ISNUMBER(B60),ISNUMBER($N$11)),SIGN(B60-$N$11),"")</x:f>
      </x:c>
      <x:c r="F60" s="83" t="str">
        <x:f>IF(NOT(ISNUMBER(E60)),"",IF(E60=0,IF(ISNUMBER(F59),F59,0),IF(E60=G59,IF(ISNUMBER(F59),F59+1,1),1)))</x:f>
      </x:c>
      <x:c r="G60" s="83" t="str">
        <x:f>IF(NOT(ISNUMBER(E60)),"",IF(E60=0,IF(ISNUMBER(G59),G59,0),E60))</x:f>
      </x:c>
      <x:c r="H60" s="83" t="str">
        <x:f>IF(NOT(ISNUMBER(B60)),"",IF(NOT(ISNUMBER(B59)),1,IF(B60=B59,H59,IF(I60=I59,H59+1,2))))</x:f>
      </x:c>
      <x:c r="I60" s="83" t="str">
        <x:f>IF(NOT(ISNUMBER(B60)),"",IF(NOT(ISNUMBER(B59)),0,IF(B60=B59,I59,SIGN(B60-B59))))</x:f>
      </x:c>
      <x:c r="J60" s="46"/>
      <x:c r="K60" s="83" t="str">
        <x:f>IF(NOT(ISNUMBER(B60)),"",IF(NOT(ISNUMBER($N$11)),"Complete 20-point baseline",IF($N$12&lt;'01 Setup'!$B$16,"Collect more points",IF(AND(E60&lt;&gt;0,F60&gt;='01 Setup'!$B$17),"Shift - investigate",IF(AND(B60&lt;&gt;B59,H60&gt;='01 Setup'!$B$18),"Trend - investigate","No screened signal")))))</x:f>
      </x:c>
      <x:c r="L60" s="3"/>
      <x:c r="M60" s="3"/>
      <x:c r="N60" s="3"/>
      <x:c r="O60" s="3"/>
      <x:c r="P60" s="3"/>
      <x:c r="Q60" s="3"/>
      <x:c r="R60" s="3"/>
    </x:row>
    <x:row r="61" ht="34" customHeight="1">
      <x:c r="A61" s="46" t="n">
        <x:v>52</x:v>
      </x:c>
      <x:c r="B61" s="110"/>
      <x:c r="C61" s="86" t="str">
        <x:f>IF(AND(ISNUMBER(B61),ISNUMBER($N$11)),$N$11,"")</x:f>
      </x:c>
      <x:c r="D61" s="86" t="str">
        <x:f>IF(AND(ISNUMBER(B61),ISNUMBER($N$10)),$N$10,"")</x:f>
      </x:c>
      <x:c r="E61" s="83" t="str">
        <x:f>IF(AND(ISNUMBER(B61),ISNUMBER($N$11)),SIGN(B61-$N$11),"")</x:f>
      </x:c>
      <x:c r="F61" s="83" t="str">
        <x:f>IF(NOT(ISNUMBER(E61)),"",IF(E61=0,IF(ISNUMBER(F60),F60,0),IF(E61=G60,IF(ISNUMBER(F60),F60+1,1),1)))</x:f>
      </x:c>
      <x:c r="G61" s="83" t="str">
        <x:f>IF(NOT(ISNUMBER(E61)),"",IF(E61=0,IF(ISNUMBER(G60),G60,0),E61))</x:f>
      </x:c>
      <x:c r="H61" s="83" t="str">
        <x:f>IF(NOT(ISNUMBER(B61)),"",IF(NOT(ISNUMBER(B60)),1,IF(B61=B60,H60,IF(I61=I60,H60+1,2))))</x:f>
      </x:c>
      <x:c r="I61" s="83" t="str">
        <x:f>IF(NOT(ISNUMBER(B61)),"",IF(NOT(ISNUMBER(B60)),0,IF(B61=B60,I60,SIGN(B61-B60))))</x:f>
      </x:c>
      <x:c r="J61" s="46"/>
      <x:c r="K61" s="83" t="str">
        <x:f>IF(NOT(ISNUMBER(B61)),"",IF(NOT(ISNUMBER($N$11)),"Complete 20-point baseline",IF($N$12&lt;'01 Setup'!$B$16,"Collect more points",IF(AND(E61&lt;&gt;0,F61&gt;='01 Setup'!$B$17),"Shift - investigate",IF(AND(B61&lt;&gt;B60,H61&gt;='01 Setup'!$B$18),"Trend - investigate","No screened signal")))))</x:f>
      </x:c>
      <x:c r="L61" s="3"/>
      <x:c r="M61" s="3"/>
      <x:c r="N61" s="3"/>
      <x:c r="O61" s="3"/>
      <x:c r="P61" s="3"/>
      <x:c r="Q61" s="3"/>
      <x:c r="R61" s="3"/>
    </x:row>
    <x:row r="62" ht="34" customHeight="1">
      <x:c r="A62" s="46" t="n">
        <x:v>53</x:v>
      </x:c>
      <x:c r="B62" s="110"/>
      <x:c r="C62" s="86" t="str">
        <x:f>IF(AND(ISNUMBER(B62),ISNUMBER($N$11)),$N$11,"")</x:f>
      </x:c>
      <x:c r="D62" s="86" t="str">
        <x:f>IF(AND(ISNUMBER(B62),ISNUMBER($N$10)),$N$10,"")</x:f>
      </x:c>
      <x:c r="E62" s="83" t="str">
        <x:f>IF(AND(ISNUMBER(B62),ISNUMBER($N$11)),SIGN(B62-$N$11),"")</x:f>
      </x:c>
      <x:c r="F62" s="83" t="str">
        <x:f>IF(NOT(ISNUMBER(E62)),"",IF(E62=0,IF(ISNUMBER(F61),F61,0),IF(E62=G61,IF(ISNUMBER(F61),F61+1,1),1)))</x:f>
      </x:c>
      <x:c r="G62" s="83" t="str">
        <x:f>IF(NOT(ISNUMBER(E62)),"",IF(E62=0,IF(ISNUMBER(G61),G61,0),E62))</x:f>
      </x:c>
      <x:c r="H62" s="83" t="str">
        <x:f>IF(NOT(ISNUMBER(B62)),"",IF(NOT(ISNUMBER(B61)),1,IF(B62=B61,H61,IF(I62=I61,H61+1,2))))</x:f>
      </x:c>
      <x:c r="I62" s="83" t="str">
        <x:f>IF(NOT(ISNUMBER(B62)),"",IF(NOT(ISNUMBER(B61)),0,IF(B62=B61,I61,SIGN(B62-B61))))</x:f>
      </x:c>
      <x:c r="J62" s="46"/>
      <x:c r="K62" s="83" t="str">
        <x:f>IF(NOT(ISNUMBER(B62)),"",IF(NOT(ISNUMBER($N$11)),"Complete 20-point baseline",IF($N$12&lt;'01 Setup'!$B$16,"Collect more points",IF(AND(E62&lt;&gt;0,F62&gt;='01 Setup'!$B$17),"Shift - investigate",IF(AND(B62&lt;&gt;B61,H62&gt;='01 Setup'!$B$18),"Trend - investigate","No screened signal")))))</x:f>
      </x:c>
      <x:c r="L62" s="3"/>
      <x:c r="M62" s="3"/>
      <x:c r="N62" s="3"/>
      <x:c r="O62" s="3"/>
      <x:c r="P62" s="3"/>
      <x:c r="Q62" s="3"/>
      <x:c r="R62" s="3"/>
    </x:row>
    <x:row r="63" ht="34" customHeight="1">
      <x:c r="A63" s="46" t="n">
        <x:v>54</x:v>
      </x:c>
      <x:c r="B63" s="110"/>
      <x:c r="C63" s="86" t="str">
        <x:f>IF(AND(ISNUMBER(B63),ISNUMBER($N$11)),$N$11,"")</x:f>
      </x:c>
      <x:c r="D63" s="86" t="str">
        <x:f>IF(AND(ISNUMBER(B63),ISNUMBER($N$10)),$N$10,"")</x:f>
      </x:c>
      <x:c r="E63" s="83" t="str">
        <x:f>IF(AND(ISNUMBER(B63),ISNUMBER($N$11)),SIGN(B63-$N$11),"")</x:f>
      </x:c>
      <x:c r="F63" s="83" t="str">
        <x:f>IF(NOT(ISNUMBER(E63)),"",IF(E63=0,IF(ISNUMBER(F62),F62,0),IF(E63=G62,IF(ISNUMBER(F62),F62+1,1),1)))</x:f>
      </x:c>
      <x:c r="G63" s="83" t="str">
        <x:f>IF(NOT(ISNUMBER(E63)),"",IF(E63=0,IF(ISNUMBER(G62),G62,0),E63))</x:f>
      </x:c>
      <x:c r="H63" s="83" t="str">
        <x:f>IF(NOT(ISNUMBER(B63)),"",IF(NOT(ISNUMBER(B62)),1,IF(B63=B62,H62,IF(I63=I62,H62+1,2))))</x:f>
      </x:c>
      <x:c r="I63" s="83" t="str">
        <x:f>IF(NOT(ISNUMBER(B63)),"",IF(NOT(ISNUMBER(B62)),0,IF(B63=B62,I62,SIGN(B63-B62))))</x:f>
      </x:c>
      <x:c r="J63" s="46"/>
      <x:c r="K63" s="83" t="str">
        <x:f>IF(NOT(ISNUMBER(B63)),"",IF(NOT(ISNUMBER($N$11)),"Complete 20-point baseline",IF($N$12&lt;'01 Setup'!$B$16,"Collect more points",IF(AND(E63&lt;&gt;0,F63&gt;='01 Setup'!$B$17),"Shift - investigate",IF(AND(B63&lt;&gt;B62,H63&gt;='01 Setup'!$B$18),"Trend - investigate","No screened signal")))))</x:f>
      </x:c>
      <x:c r="L63" s="3"/>
      <x:c r="M63" s="3"/>
      <x:c r="N63" s="3"/>
      <x:c r="O63" s="3"/>
      <x:c r="P63" s="3"/>
      <x:c r="Q63" s="3"/>
      <x:c r="R63" s="3"/>
    </x:row>
    <x:row r="64" ht="34" customHeight="1">
      <x:c r="A64" s="46" t="n">
        <x:v>55</x:v>
      </x:c>
      <x:c r="B64" s="110"/>
      <x:c r="C64" s="86" t="str">
        <x:f>IF(AND(ISNUMBER(B64),ISNUMBER($N$11)),$N$11,"")</x:f>
      </x:c>
      <x:c r="D64" s="86" t="str">
        <x:f>IF(AND(ISNUMBER(B64),ISNUMBER($N$10)),$N$10,"")</x:f>
      </x:c>
      <x:c r="E64" s="83" t="str">
        <x:f>IF(AND(ISNUMBER(B64),ISNUMBER($N$11)),SIGN(B64-$N$11),"")</x:f>
      </x:c>
      <x:c r="F64" s="83" t="str">
        <x:f>IF(NOT(ISNUMBER(E64)),"",IF(E64=0,IF(ISNUMBER(F63),F63,0),IF(E64=G63,IF(ISNUMBER(F63),F63+1,1),1)))</x:f>
      </x:c>
      <x:c r="G64" s="83" t="str">
        <x:f>IF(NOT(ISNUMBER(E64)),"",IF(E64=0,IF(ISNUMBER(G63),G63,0),E64))</x:f>
      </x:c>
      <x:c r="H64" s="83" t="str">
        <x:f>IF(NOT(ISNUMBER(B64)),"",IF(NOT(ISNUMBER(B63)),1,IF(B64=B63,H63,IF(I64=I63,H63+1,2))))</x:f>
      </x:c>
      <x:c r="I64" s="83" t="str">
        <x:f>IF(NOT(ISNUMBER(B64)),"",IF(NOT(ISNUMBER(B63)),0,IF(B64=B63,I63,SIGN(B64-B63))))</x:f>
      </x:c>
      <x:c r="J64" s="46"/>
      <x:c r="K64" s="83" t="str">
        <x:f>IF(NOT(ISNUMBER(B64)),"",IF(NOT(ISNUMBER($N$11)),"Complete 20-point baseline",IF($N$12&lt;'01 Setup'!$B$16,"Collect more points",IF(AND(E64&lt;&gt;0,F64&gt;='01 Setup'!$B$17),"Shift - investigate",IF(AND(B64&lt;&gt;B63,H64&gt;='01 Setup'!$B$18),"Trend - investigate","No screened signal")))))</x:f>
      </x:c>
      <x:c r="L64" s="3"/>
      <x:c r="M64" s="3"/>
      <x:c r="N64" s="3"/>
      <x:c r="O64" s="3"/>
      <x:c r="P64" s="3"/>
      <x:c r="Q64" s="3"/>
      <x:c r="R64" s="3"/>
    </x:row>
    <x:row r="65" ht="34" customHeight="1">
      <x:c r="A65" s="46" t="n">
        <x:v>56</x:v>
      </x:c>
      <x:c r="B65" s="110"/>
      <x:c r="C65" s="86" t="str">
        <x:f>IF(AND(ISNUMBER(B65),ISNUMBER($N$11)),$N$11,"")</x:f>
      </x:c>
      <x:c r="D65" s="86" t="str">
        <x:f>IF(AND(ISNUMBER(B65),ISNUMBER($N$10)),$N$10,"")</x:f>
      </x:c>
      <x:c r="E65" s="83" t="str">
        <x:f>IF(AND(ISNUMBER(B65),ISNUMBER($N$11)),SIGN(B65-$N$11),"")</x:f>
      </x:c>
      <x:c r="F65" s="83" t="str">
        <x:f>IF(NOT(ISNUMBER(E65)),"",IF(E65=0,IF(ISNUMBER(F64),F64,0),IF(E65=G64,IF(ISNUMBER(F64),F64+1,1),1)))</x:f>
      </x:c>
      <x:c r="G65" s="83" t="str">
        <x:f>IF(NOT(ISNUMBER(E65)),"",IF(E65=0,IF(ISNUMBER(G64),G64,0),E65))</x:f>
      </x:c>
      <x:c r="H65" s="83" t="str">
        <x:f>IF(NOT(ISNUMBER(B65)),"",IF(NOT(ISNUMBER(B64)),1,IF(B65=B64,H64,IF(I65=I64,H64+1,2))))</x:f>
      </x:c>
      <x:c r="I65" s="83" t="str">
        <x:f>IF(NOT(ISNUMBER(B65)),"",IF(NOT(ISNUMBER(B64)),0,IF(B65=B64,I64,SIGN(B65-B64))))</x:f>
      </x:c>
      <x:c r="J65" s="46"/>
      <x:c r="K65" s="83" t="str">
        <x:f>IF(NOT(ISNUMBER(B65)),"",IF(NOT(ISNUMBER($N$11)),"Complete 20-point baseline",IF($N$12&lt;'01 Setup'!$B$16,"Collect more points",IF(AND(E65&lt;&gt;0,F65&gt;='01 Setup'!$B$17),"Shift - investigate",IF(AND(B65&lt;&gt;B64,H65&gt;='01 Setup'!$B$18),"Trend - investigate","No screened signal")))))</x:f>
      </x:c>
      <x:c r="L65" s="3"/>
      <x:c r="M65" s="3"/>
      <x:c r="N65" s="3"/>
      <x:c r="O65" s="3"/>
      <x:c r="P65" s="3"/>
      <x:c r="Q65" s="3"/>
      <x:c r="R65" s="3"/>
    </x:row>
    <x:row r="66" ht="34" customHeight="1">
      <x:c r="A66" s="46" t="n">
        <x:v>57</x:v>
      </x:c>
      <x:c r="B66" s="110"/>
      <x:c r="C66" s="86" t="str">
        <x:f>IF(AND(ISNUMBER(B66),ISNUMBER($N$11)),$N$11,"")</x:f>
      </x:c>
      <x:c r="D66" s="86" t="str">
        <x:f>IF(AND(ISNUMBER(B66),ISNUMBER($N$10)),$N$10,"")</x:f>
      </x:c>
      <x:c r="E66" s="83" t="str">
        <x:f>IF(AND(ISNUMBER(B66),ISNUMBER($N$11)),SIGN(B66-$N$11),"")</x:f>
      </x:c>
      <x:c r="F66" s="83" t="str">
        <x:f>IF(NOT(ISNUMBER(E66)),"",IF(E66=0,IF(ISNUMBER(F65),F65,0),IF(E66=G65,IF(ISNUMBER(F65),F65+1,1),1)))</x:f>
      </x:c>
      <x:c r="G66" s="83" t="str">
        <x:f>IF(NOT(ISNUMBER(E66)),"",IF(E66=0,IF(ISNUMBER(G65),G65,0),E66))</x:f>
      </x:c>
      <x:c r="H66" s="83" t="str">
        <x:f>IF(NOT(ISNUMBER(B66)),"",IF(NOT(ISNUMBER(B65)),1,IF(B66=B65,H65,IF(I66=I65,H65+1,2))))</x:f>
      </x:c>
      <x:c r="I66" s="83" t="str">
        <x:f>IF(NOT(ISNUMBER(B66)),"",IF(NOT(ISNUMBER(B65)),0,IF(B66=B65,I65,SIGN(B66-B65))))</x:f>
      </x:c>
      <x:c r="J66" s="46"/>
      <x:c r="K66" s="83" t="str">
        <x:f>IF(NOT(ISNUMBER(B66)),"",IF(NOT(ISNUMBER($N$11)),"Complete 20-point baseline",IF($N$12&lt;'01 Setup'!$B$16,"Collect more points",IF(AND(E66&lt;&gt;0,F66&gt;='01 Setup'!$B$17),"Shift - investigate",IF(AND(B66&lt;&gt;B65,H66&gt;='01 Setup'!$B$18),"Trend - investigate","No screened signal")))))</x:f>
      </x:c>
      <x:c r="L66" s="3"/>
      <x:c r="M66" s="3"/>
      <x:c r="N66" s="3"/>
      <x:c r="O66" s="3"/>
      <x:c r="P66" s="3"/>
      <x:c r="Q66" s="3"/>
      <x:c r="R66" s="3"/>
    </x:row>
    <x:row r="67" ht="34" customHeight="1">
      <x:c r="A67" s="46" t="n">
        <x:v>58</x:v>
      </x:c>
      <x:c r="B67" s="110"/>
      <x:c r="C67" s="86" t="str">
        <x:f>IF(AND(ISNUMBER(B67),ISNUMBER($N$11)),$N$11,"")</x:f>
      </x:c>
      <x:c r="D67" s="86" t="str">
        <x:f>IF(AND(ISNUMBER(B67),ISNUMBER($N$10)),$N$10,"")</x:f>
      </x:c>
      <x:c r="E67" s="83" t="str">
        <x:f>IF(AND(ISNUMBER(B67),ISNUMBER($N$11)),SIGN(B67-$N$11),"")</x:f>
      </x:c>
      <x:c r="F67" s="83" t="str">
        <x:f>IF(NOT(ISNUMBER(E67)),"",IF(E67=0,IF(ISNUMBER(F66),F66,0),IF(E67=G66,IF(ISNUMBER(F66),F66+1,1),1)))</x:f>
      </x:c>
      <x:c r="G67" s="83" t="str">
        <x:f>IF(NOT(ISNUMBER(E67)),"",IF(E67=0,IF(ISNUMBER(G66),G66,0),E67))</x:f>
      </x:c>
      <x:c r="H67" s="83" t="str">
        <x:f>IF(NOT(ISNUMBER(B67)),"",IF(NOT(ISNUMBER(B66)),1,IF(B67=B66,H66,IF(I67=I66,H66+1,2))))</x:f>
      </x:c>
      <x:c r="I67" s="83" t="str">
        <x:f>IF(NOT(ISNUMBER(B67)),"",IF(NOT(ISNUMBER(B66)),0,IF(B67=B66,I66,SIGN(B67-B66))))</x:f>
      </x:c>
      <x:c r="J67" s="46"/>
      <x:c r="K67" s="83" t="str">
        <x:f>IF(NOT(ISNUMBER(B67)),"",IF(NOT(ISNUMBER($N$11)),"Complete 20-point baseline",IF($N$12&lt;'01 Setup'!$B$16,"Collect more points",IF(AND(E67&lt;&gt;0,F67&gt;='01 Setup'!$B$17),"Shift - investigate",IF(AND(B67&lt;&gt;B66,H67&gt;='01 Setup'!$B$18),"Trend - investigate","No screened signal")))))</x:f>
      </x:c>
      <x:c r="L67" s="3"/>
      <x:c r="M67" s="3"/>
      <x:c r="N67" s="3"/>
      <x:c r="O67" s="3"/>
      <x:c r="P67" s="3"/>
      <x:c r="Q67" s="3"/>
      <x:c r="R67" s="3"/>
    </x:row>
    <x:row r="68" ht="34" customHeight="1">
      <x:c r="A68" s="46" t="n">
        <x:v>59</x:v>
      </x:c>
      <x:c r="B68" s="110"/>
      <x:c r="C68" s="86" t="str">
        <x:f>IF(AND(ISNUMBER(B68),ISNUMBER($N$11)),$N$11,"")</x:f>
      </x:c>
      <x:c r="D68" s="86" t="str">
        <x:f>IF(AND(ISNUMBER(B68),ISNUMBER($N$10)),$N$10,"")</x:f>
      </x:c>
      <x:c r="E68" s="83" t="str">
        <x:f>IF(AND(ISNUMBER(B68),ISNUMBER($N$11)),SIGN(B68-$N$11),"")</x:f>
      </x:c>
      <x:c r="F68" s="83" t="str">
        <x:f>IF(NOT(ISNUMBER(E68)),"",IF(E68=0,IF(ISNUMBER(F67),F67,0),IF(E68=G67,IF(ISNUMBER(F67),F67+1,1),1)))</x:f>
      </x:c>
      <x:c r="G68" s="83" t="str">
        <x:f>IF(NOT(ISNUMBER(E68)),"",IF(E68=0,IF(ISNUMBER(G67),G67,0),E68))</x:f>
      </x:c>
      <x:c r="H68" s="83" t="str">
        <x:f>IF(NOT(ISNUMBER(B68)),"",IF(NOT(ISNUMBER(B67)),1,IF(B68=B67,H67,IF(I68=I67,H67+1,2))))</x:f>
      </x:c>
      <x:c r="I68" s="83" t="str">
        <x:f>IF(NOT(ISNUMBER(B68)),"",IF(NOT(ISNUMBER(B67)),0,IF(B68=B67,I67,SIGN(B68-B67))))</x:f>
      </x:c>
      <x:c r="J68" s="46"/>
      <x:c r="K68" s="83" t="str">
        <x:f>IF(NOT(ISNUMBER(B68)),"",IF(NOT(ISNUMBER($N$11)),"Complete 20-point baseline",IF($N$12&lt;'01 Setup'!$B$16,"Collect more points",IF(AND(E68&lt;&gt;0,F68&gt;='01 Setup'!$B$17),"Shift - investigate",IF(AND(B68&lt;&gt;B67,H68&gt;='01 Setup'!$B$18),"Trend - investigate","No screened signal")))))</x:f>
      </x:c>
      <x:c r="L68" s="3"/>
      <x:c r="M68" s="3"/>
      <x:c r="N68" s="3"/>
      <x:c r="O68" s="3"/>
      <x:c r="P68" s="3"/>
      <x:c r="Q68" s="3"/>
      <x:c r="R68" s="3"/>
    </x:row>
    <x:row r="69" ht="34" customHeight="1">
      <x:c r="A69" s="46" t="n">
        <x:v>60</x:v>
      </x:c>
      <x:c r="B69" s="110"/>
      <x:c r="C69" s="86" t="str">
        <x:f>IF(AND(ISNUMBER(B69),ISNUMBER($N$11)),$N$11,"")</x:f>
      </x:c>
      <x:c r="D69" s="86" t="str">
        <x:f>IF(AND(ISNUMBER(B69),ISNUMBER($N$10)),$N$10,"")</x:f>
      </x:c>
      <x:c r="E69" s="83" t="str">
        <x:f>IF(AND(ISNUMBER(B69),ISNUMBER($N$11)),SIGN(B69-$N$11),"")</x:f>
      </x:c>
      <x:c r="F69" s="83" t="str">
        <x:f>IF(NOT(ISNUMBER(E69)),"",IF(E69=0,IF(ISNUMBER(F68),F68,0),IF(E69=G68,IF(ISNUMBER(F68),F68+1,1),1)))</x:f>
      </x:c>
      <x:c r="G69" s="83" t="str">
        <x:f>IF(NOT(ISNUMBER(E69)),"",IF(E69=0,IF(ISNUMBER(G68),G68,0),E69))</x:f>
      </x:c>
      <x:c r="H69" s="83" t="str">
        <x:f>IF(NOT(ISNUMBER(B69)),"",IF(NOT(ISNUMBER(B68)),1,IF(B69=B68,H68,IF(I69=I68,H68+1,2))))</x:f>
      </x:c>
      <x:c r="I69" s="83" t="str">
        <x:f>IF(NOT(ISNUMBER(B69)),"",IF(NOT(ISNUMBER(B68)),0,IF(B69=B68,I68,SIGN(B69-B68))))</x:f>
      </x:c>
      <x:c r="J69" s="46"/>
      <x:c r="K69" s="83" t="str">
        <x:f>IF(NOT(ISNUMBER(B69)),"",IF(NOT(ISNUMBER($N$11)),"Complete 20-point baseline",IF($N$12&lt;'01 Setup'!$B$16,"Collect more points",IF(AND(E69&lt;&gt;0,F69&gt;='01 Setup'!$B$17),"Shift - investigate",IF(AND(B69&lt;&gt;B68,H69&gt;='01 Setup'!$B$18),"Trend - investigate","No screened signal")))))</x:f>
      </x:c>
      <x:c r="L69" s="3"/>
      <x:c r="M69" s="3"/>
      <x:c r="N69" s="3"/>
      <x:c r="O69" s="3"/>
      <x:c r="P69" s="3"/>
      <x:c r="Q69" s="3"/>
      <x:c r="R69" s="3"/>
    </x:row>
    <x:row r="70" ht="34" customHeight="1">
      <x:c r="A70" s="46" t="n">
        <x:v>61</x:v>
      </x:c>
      <x:c r="B70" s="110"/>
      <x:c r="C70" s="86" t="str">
        <x:f>IF(AND(ISNUMBER(B70),ISNUMBER($N$11)),$N$11,"")</x:f>
      </x:c>
      <x:c r="D70" s="86" t="str">
        <x:f>IF(AND(ISNUMBER(B70),ISNUMBER($N$10)),$N$10,"")</x:f>
      </x:c>
      <x:c r="E70" s="83" t="str">
        <x:f>IF(AND(ISNUMBER(B70),ISNUMBER($N$11)),SIGN(B70-$N$11),"")</x:f>
      </x:c>
      <x:c r="F70" s="83" t="str">
        <x:f>IF(NOT(ISNUMBER(E70)),"",IF(E70=0,IF(ISNUMBER(F69),F69,0),IF(E70=G69,IF(ISNUMBER(F69),F69+1,1),1)))</x:f>
      </x:c>
      <x:c r="G70" s="83" t="str">
        <x:f>IF(NOT(ISNUMBER(E70)),"",IF(E70=0,IF(ISNUMBER(G69),G69,0),E70))</x:f>
      </x:c>
      <x:c r="H70" s="83" t="str">
        <x:f>IF(NOT(ISNUMBER(B70)),"",IF(NOT(ISNUMBER(B69)),1,IF(B70=B69,H69,IF(I70=I69,H69+1,2))))</x:f>
      </x:c>
      <x:c r="I70" s="83" t="str">
        <x:f>IF(NOT(ISNUMBER(B70)),"",IF(NOT(ISNUMBER(B69)),0,IF(B70=B69,I69,SIGN(B70-B69))))</x:f>
      </x:c>
      <x:c r="J70" s="46"/>
      <x:c r="K70" s="83" t="str">
        <x:f>IF(NOT(ISNUMBER(B70)),"",IF(NOT(ISNUMBER($N$11)),"Complete 20-point baseline",IF($N$12&lt;'01 Setup'!$B$16,"Collect more points",IF(AND(E70&lt;&gt;0,F70&gt;='01 Setup'!$B$17),"Shift - investigate",IF(AND(B70&lt;&gt;B69,H70&gt;='01 Setup'!$B$18),"Trend - investigate","No screened signal")))))</x:f>
      </x:c>
      <x:c r="L70" s="3"/>
      <x:c r="M70" s="3"/>
      <x:c r="N70" s="3"/>
      <x:c r="O70" s="3"/>
      <x:c r="P70" s="3"/>
      <x:c r="Q70" s="3"/>
      <x:c r="R70" s="3"/>
    </x:row>
    <x:row r="71" ht="34" customHeight="1">
      <x:c r="A71" s="46" t="n">
        <x:v>62</x:v>
      </x:c>
      <x:c r="B71" s="110"/>
      <x:c r="C71" s="86" t="str">
        <x:f>IF(AND(ISNUMBER(B71),ISNUMBER($N$11)),$N$11,"")</x:f>
      </x:c>
      <x:c r="D71" s="86" t="str">
        <x:f>IF(AND(ISNUMBER(B71),ISNUMBER($N$10)),$N$10,"")</x:f>
      </x:c>
      <x:c r="E71" s="83" t="str">
        <x:f>IF(AND(ISNUMBER(B71),ISNUMBER($N$11)),SIGN(B71-$N$11),"")</x:f>
      </x:c>
      <x:c r="F71" s="83" t="str">
        <x:f>IF(NOT(ISNUMBER(E71)),"",IF(E71=0,IF(ISNUMBER(F70),F70,0),IF(E71=G70,IF(ISNUMBER(F70),F70+1,1),1)))</x:f>
      </x:c>
      <x:c r="G71" s="83" t="str">
        <x:f>IF(NOT(ISNUMBER(E71)),"",IF(E71=0,IF(ISNUMBER(G70),G70,0),E71))</x:f>
      </x:c>
      <x:c r="H71" s="83" t="str">
        <x:f>IF(NOT(ISNUMBER(B71)),"",IF(NOT(ISNUMBER(B70)),1,IF(B71=B70,H70,IF(I71=I70,H70+1,2))))</x:f>
      </x:c>
      <x:c r="I71" s="83" t="str">
        <x:f>IF(NOT(ISNUMBER(B71)),"",IF(NOT(ISNUMBER(B70)),0,IF(B71=B70,I70,SIGN(B71-B70))))</x:f>
      </x:c>
      <x:c r="J71" s="46"/>
      <x:c r="K71" s="83" t="str">
        <x:f>IF(NOT(ISNUMBER(B71)),"",IF(NOT(ISNUMBER($N$11)),"Complete 20-point baseline",IF($N$12&lt;'01 Setup'!$B$16,"Collect more points",IF(AND(E71&lt;&gt;0,F71&gt;='01 Setup'!$B$17),"Shift - investigate",IF(AND(B71&lt;&gt;B70,H71&gt;='01 Setup'!$B$18),"Trend - investigate","No screened signal")))))</x:f>
      </x:c>
      <x:c r="L71" s="3"/>
      <x:c r="M71" s="3"/>
      <x:c r="N71" s="3"/>
      <x:c r="O71" s="3"/>
      <x:c r="P71" s="3"/>
      <x:c r="Q71" s="3"/>
      <x:c r="R71" s="3"/>
    </x:row>
    <x:row r="72" ht="34" customHeight="1">
      <x:c r="A72" s="46" t="n">
        <x:v>63</x:v>
      </x:c>
      <x:c r="B72" s="110"/>
      <x:c r="C72" s="86" t="str">
        <x:f>IF(AND(ISNUMBER(B72),ISNUMBER($N$11)),$N$11,"")</x:f>
      </x:c>
      <x:c r="D72" s="86" t="str">
        <x:f>IF(AND(ISNUMBER(B72),ISNUMBER($N$10)),$N$10,"")</x:f>
      </x:c>
      <x:c r="E72" s="83" t="str">
        <x:f>IF(AND(ISNUMBER(B72),ISNUMBER($N$11)),SIGN(B72-$N$11),"")</x:f>
      </x:c>
      <x:c r="F72" s="83" t="str">
        <x:f>IF(NOT(ISNUMBER(E72)),"",IF(E72=0,IF(ISNUMBER(F71),F71,0),IF(E72=G71,IF(ISNUMBER(F71),F71+1,1),1)))</x:f>
      </x:c>
      <x:c r="G72" s="83" t="str">
        <x:f>IF(NOT(ISNUMBER(E72)),"",IF(E72=0,IF(ISNUMBER(G71),G71,0),E72))</x:f>
      </x:c>
      <x:c r="H72" s="83" t="str">
        <x:f>IF(NOT(ISNUMBER(B72)),"",IF(NOT(ISNUMBER(B71)),1,IF(B72=B71,H71,IF(I72=I71,H71+1,2))))</x:f>
      </x:c>
      <x:c r="I72" s="83" t="str">
        <x:f>IF(NOT(ISNUMBER(B72)),"",IF(NOT(ISNUMBER(B71)),0,IF(B72=B71,I71,SIGN(B72-B71))))</x:f>
      </x:c>
      <x:c r="J72" s="46"/>
      <x:c r="K72" s="83" t="str">
        <x:f>IF(NOT(ISNUMBER(B72)),"",IF(NOT(ISNUMBER($N$11)),"Complete 20-point baseline",IF($N$12&lt;'01 Setup'!$B$16,"Collect more points",IF(AND(E72&lt;&gt;0,F72&gt;='01 Setup'!$B$17),"Shift - investigate",IF(AND(B72&lt;&gt;B71,H72&gt;='01 Setup'!$B$18),"Trend - investigate","No screened signal")))))</x:f>
      </x:c>
      <x:c r="L72" s="3"/>
      <x:c r="M72" s="3"/>
      <x:c r="N72" s="3"/>
      <x:c r="O72" s="3"/>
      <x:c r="P72" s="3"/>
      <x:c r="Q72" s="3"/>
      <x:c r="R72" s="3"/>
    </x:row>
    <x:row r="73" ht="34" customHeight="1">
      <x:c r="A73" s="46" t="n">
        <x:v>64</x:v>
      </x:c>
      <x:c r="B73" s="110"/>
      <x:c r="C73" s="86" t="str">
        <x:f>IF(AND(ISNUMBER(B73),ISNUMBER($N$11)),$N$11,"")</x:f>
      </x:c>
      <x:c r="D73" s="86" t="str">
        <x:f>IF(AND(ISNUMBER(B73),ISNUMBER($N$10)),$N$10,"")</x:f>
      </x:c>
      <x:c r="E73" s="83" t="str">
        <x:f>IF(AND(ISNUMBER(B73),ISNUMBER($N$11)),SIGN(B73-$N$11),"")</x:f>
      </x:c>
      <x:c r="F73" s="83" t="str">
        <x:f>IF(NOT(ISNUMBER(E73)),"",IF(E73=0,IF(ISNUMBER(F72),F72,0),IF(E73=G72,IF(ISNUMBER(F72),F72+1,1),1)))</x:f>
      </x:c>
      <x:c r="G73" s="83" t="str">
        <x:f>IF(NOT(ISNUMBER(E73)),"",IF(E73=0,IF(ISNUMBER(G72),G72,0),E73))</x:f>
      </x:c>
      <x:c r="H73" s="83" t="str">
        <x:f>IF(NOT(ISNUMBER(B73)),"",IF(NOT(ISNUMBER(B72)),1,IF(B73=B72,H72,IF(I73=I72,H72+1,2))))</x:f>
      </x:c>
      <x:c r="I73" s="83" t="str">
        <x:f>IF(NOT(ISNUMBER(B73)),"",IF(NOT(ISNUMBER(B72)),0,IF(B73=B72,I72,SIGN(B73-B72))))</x:f>
      </x:c>
      <x:c r="J73" s="46"/>
      <x:c r="K73" s="83" t="str">
        <x:f>IF(NOT(ISNUMBER(B73)),"",IF(NOT(ISNUMBER($N$11)),"Complete 20-point baseline",IF($N$12&lt;'01 Setup'!$B$16,"Collect more points",IF(AND(E73&lt;&gt;0,F73&gt;='01 Setup'!$B$17),"Shift - investigate",IF(AND(B73&lt;&gt;B72,H73&gt;='01 Setup'!$B$18),"Trend - investigate","No screened signal")))))</x:f>
      </x:c>
      <x:c r="L73" s="3"/>
      <x:c r="M73" s="3"/>
      <x:c r="N73" s="3"/>
      <x:c r="O73" s="3"/>
      <x:c r="P73" s="3"/>
      <x:c r="Q73" s="3"/>
      <x:c r="R73" s="3"/>
    </x:row>
    <x:row r="74" ht="34" customHeight="1">
      <x:c r="A74" s="46" t="n">
        <x:v>65</x:v>
      </x:c>
      <x:c r="B74" s="110"/>
      <x:c r="C74" s="86" t="str">
        <x:f>IF(AND(ISNUMBER(B74),ISNUMBER($N$11)),$N$11,"")</x:f>
      </x:c>
      <x:c r="D74" s="86" t="str">
        <x:f>IF(AND(ISNUMBER(B74),ISNUMBER($N$10)),$N$10,"")</x:f>
      </x:c>
      <x:c r="E74" s="83" t="str">
        <x:f>IF(AND(ISNUMBER(B74),ISNUMBER($N$11)),SIGN(B74-$N$11),"")</x:f>
      </x:c>
      <x:c r="F74" s="83" t="str">
        <x:f>IF(NOT(ISNUMBER(E74)),"",IF(E74=0,IF(ISNUMBER(F73),F73,0),IF(E74=G73,IF(ISNUMBER(F73),F73+1,1),1)))</x:f>
      </x:c>
      <x:c r="G74" s="83" t="str">
        <x:f>IF(NOT(ISNUMBER(E74)),"",IF(E74=0,IF(ISNUMBER(G73),G73,0),E74))</x:f>
      </x:c>
      <x:c r="H74" s="83" t="str">
        <x:f>IF(NOT(ISNUMBER(B74)),"",IF(NOT(ISNUMBER(B73)),1,IF(B74=B73,H73,IF(I74=I73,H73+1,2))))</x:f>
      </x:c>
      <x:c r="I74" s="83" t="str">
        <x:f>IF(NOT(ISNUMBER(B74)),"",IF(NOT(ISNUMBER(B73)),0,IF(B74=B73,I73,SIGN(B74-B73))))</x:f>
      </x:c>
      <x:c r="J74" s="46"/>
      <x:c r="K74" s="83" t="str">
        <x:f>IF(NOT(ISNUMBER(B74)),"",IF(NOT(ISNUMBER($N$11)),"Complete 20-point baseline",IF($N$12&lt;'01 Setup'!$B$16,"Collect more points",IF(AND(E74&lt;&gt;0,F74&gt;='01 Setup'!$B$17),"Shift - investigate",IF(AND(B74&lt;&gt;B73,H74&gt;='01 Setup'!$B$18),"Trend - investigate","No screened signal")))))</x:f>
      </x:c>
      <x:c r="L74" s="3"/>
      <x:c r="M74" s="3"/>
      <x:c r="N74" s="3"/>
      <x:c r="O74" s="3"/>
      <x:c r="P74" s="3"/>
      <x:c r="Q74" s="3"/>
      <x:c r="R74" s="3"/>
    </x:row>
    <x:row r="75" ht="34" customHeight="1">
      <x:c r="A75" s="46" t="n">
        <x:v>66</x:v>
      </x:c>
      <x:c r="B75" s="110"/>
      <x:c r="C75" s="86" t="str">
        <x:f>IF(AND(ISNUMBER(B75),ISNUMBER($N$11)),$N$11,"")</x:f>
      </x:c>
      <x:c r="D75" s="86" t="str">
        <x:f>IF(AND(ISNUMBER(B75),ISNUMBER($N$10)),$N$10,"")</x:f>
      </x:c>
      <x:c r="E75" s="83" t="str">
        <x:f>IF(AND(ISNUMBER(B75),ISNUMBER($N$11)),SIGN(B75-$N$11),"")</x:f>
      </x:c>
      <x:c r="F75" s="83" t="str">
        <x:f>IF(NOT(ISNUMBER(E75)),"",IF(E75=0,IF(ISNUMBER(F74),F74,0),IF(E75=G74,IF(ISNUMBER(F74),F74+1,1),1)))</x:f>
      </x:c>
      <x:c r="G75" s="83" t="str">
        <x:f>IF(NOT(ISNUMBER(E75)),"",IF(E75=0,IF(ISNUMBER(G74),G74,0),E75))</x:f>
      </x:c>
      <x:c r="H75" s="83" t="str">
        <x:f>IF(NOT(ISNUMBER(B75)),"",IF(NOT(ISNUMBER(B74)),1,IF(B75=B74,H74,IF(I75=I74,H74+1,2))))</x:f>
      </x:c>
      <x:c r="I75" s="83" t="str">
        <x:f>IF(NOT(ISNUMBER(B75)),"",IF(NOT(ISNUMBER(B74)),0,IF(B75=B74,I74,SIGN(B75-B74))))</x:f>
      </x:c>
      <x:c r="J75" s="46"/>
      <x:c r="K75" s="83" t="str">
        <x:f>IF(NOT(ISNUMBER(B75)),"",IF(NOT(ISNUMBER($N$11)),"Complete 20-point baseline",IF($N$12&lt;'01 Setup'!$B$16,"Collect more points",IF(AND(E75&lt;&gt;0,F75&gt;='01 Setup'!$B$17),"Shift - investigate",IF(AND(B75&lt;&gt;B74,H75&gt;='01 Setup'!$B$18),"Trend - investigate","No screened signal")))))</x:f>
      </x:c>
      <x:c r="L75" s="3"/>
      <x:c r="M75" s="3"/>
      <x:c r="N75" s="3"/>
      <x:c r="O75" s="3"/>
      <x:c r="P75" s="3"/>
      <x:c r="Q75" s="3"/>
      <x:c r="R75" s="3"/>
    </x:row>
    <x:row r="76" ht="34" customHeight="1">
      <x:c r="A76" s="46" t="n">
        <x:v>67</x:v>
      </x:c>
      <x:c r="B76" s="110"/>
      <x:c r="C76" s="86" t="str">
        <x:f>IF(AND(ISNUMBER(B76),ISNUMBER($N$11)),$N$11,"")</x:f>
      </x:c>
      <x:c r="D76" s="86" t="str">
        <x:f>IF(AND(ISNUMBER(B76),ISNUMBER($N$10)),$N$10,"")</x:f>
      </x:c>
      <x:c r="E76" s="83" t="str">
        <x:f>IF(AND(ISNUMBER(B76),ISNUMBER($N$11)),SIGN(B76-$N$11),"")</x:f>
      </x:c>
      <x:c r="F76" s="83" t="str">
        <x:f>IF(NOT(ISNUMBER(E76)),"",IF(E76=0,IF(ISNUMBER(F75),F75,0),IF(E76=G75,IF(ISNUMBER(F75),F75+1,1),1)))</x:f>
      </x:c>
      <x:c r="G76" s="83" t="str">
        <x:f>IF(NOT(ISNUMBER(E76)),"",IF(E76=0,IF(ISNUMBER(G75),G75,0),E76))</x:f>
      </x:c>
      <x:c r="H76" s="83" t="str">
        <x:f>IF(NOT(ISNUMBER(B76)),"",IF(NOT(ISNUMBER(B75)),1,IF(B76=B75,H75,IF(I76=I75,H75+1,2))))</x:f>
      </x:c>
      <x:c r="I76" s="83" t="str">
        <x:f>IF(NOT(ISNUMBER(B76)),"",IF(NOT(ISNUMBER(B75)),0,IF(B76=B75,I75,SIGN(B76-B75))))</x:f>
      </x:c>
      <x:c r="J76" s="46"/>
      <x:c r="K76" s="83" t="str">
        <x:f>IF(NOT(ISNUMBER(B76)),"",IF(NOT(ISNUMBER($N$11)),"Complete 20-point baseline",IF($N$12&lt;'01 Setup'!$B$16,"Collect more points",IF(AND(E76&lt;&gt;0,F76&gt;='01 Setup'!$B$17),"Shift - investigate",IF(AND(B76&lt;&gt;B75,H76&gt;='01 Setup'!$B$18),"Trend - investigate","No screened signal")))))</x:f>
      </x:c>
      <x:c r="L76" s="3"/>
      <x:c r="M76" s="3"/>
      <x:c r="N76" s="3"/>
      <x:c r="O76" s="3"/>
      <x:c r="P76" s="3"/>
      <x:c r="Q76" s="3"/>
      <x:c r="R76" s="3"/>
    </x:row>
    <x:row r="77" ht="34" customHeight="1">
      <x:c r="A77" s="46" t="n">
        <x:v>68</x:v>
      </x:c>
      <x:c r="B77" s="110"/>
      <x:c r="C77" s="86" t="str">
        <x:f>IF(AND(ISNUMBER(B77),ISNUMBER($N$11)),$N$11,"")</x:f>
      </x:c>
      <x:c r="D77" s="86" t="str">
        <x:f>IF(AND(ISNUMBER(B77),ISNUMBER($N$10)),$N$10,"")</x:f>
      </x:c>
      <x:c r="E77" s="83" t="str">
        <x:f>IF(AND(ISNUMBER(B77),ISNUMBER($N$11)),SIGN(B77-$N$11),"")</x:f>
      </x:c>
      <x:c r="F77" s="83" t="str">
        <x:f>IF(NOT(ISNUMBER(E77)),"",IF(E77=0,IF(ISNUMBER(F76),F76,0),IF(E77=G76,IF(ISNUMBER(F76),F76+1,1),1)))</x:f>
      </x:c>
      <x:c r="G77" s="83" t="str">
        <x:f>IF(NOT(ISNUMBER(E77)),"",IF(E77=0,IF(ISNUMBER(G76),G76,0),E77))</x:f>
      </x:c>
      <x:c r="H77" s="83" t="str">
        <x:f>IF(NOT(ISNUMBER(B77)),"",IF(NOT(ISNUMBER(B76)),1,IF(B77=B76,H76,IF(I77=I76,H76+1,2))))</x:f>
      </x:c>
      <x:c r="I77" s="83" t="str">
        <x:f>IF(NOT(ISNUMBER(B77)),"",IF(NOT(ISNUMBER(B76)),0,IF(B77=B76,I76,SIGN(B77-B76))))</x:f>
      </x:c>
      <x:c r="J77" s="46"/>
      <x:c r="K77" s="83" t="str">
        <x:f>IF(NOT(ISNUMBER(B77)),"",IF(NOT(ISNUMBER($N$11)),"Complete 20-point baseline",IF($N$12&lt;'01 Setup'!$B$16,"Collect more points",IF(AND(E77&lt;&gt;0,F77&gt;='01 Setup'!$B$17),"Shift - investigate",IF(AND(B77&lt;&gt;B76,H77&gt;='01 Setup'!$B$18),"Trend - investigate","No screened signal")))))</x:f>
      </x:c>
      <x:c r="L77" s="3"/>
      <x:c r="M77" s="3"/>
      <x:c r="N77" s="3"/>
      <x:c r="O77" s="3"/>
      <x:c r="P77" s="3"/>
      <x:c r="Q77" s="3"/>
      <x:c r="R77" s="3"/>
    </x:row>
    <x:row r="78" ht="34" customHeight="1">
      <x:c r="A78" s="46" t="n">
        <x:v>69</x:v>
      </x:c>
      <x:c r="B78" s="110"/>
      <x:c r="C78" s="86" t="str">
        <x:f>IF(AND(ISNUMBER(B78),ISNUMBER($N$11)),$N$11,"")</x:f>
      </x:c>
      <x:c r="D78" s="86" t="str">
        <x:f>IF(AND(ISNUMBER(B78),ISNUMBER($N$10)),$N$10,"")</x:f>
      </x:c>
      <x:c r="E78" s="83" t="str">
        <x:f>IF(AND(ISNUMBER(B78),ISNUMBER($N$11)),SIGN(B78-$N$11),"")</x:f>
      </x:c>
      <x:c r="F78" s="83" t="str">
        <x:f>IF(NOT(ISNUMBER(E78)),"",IF(E78=0,IF(ISNUMBER(F77),F77,0),IF(E78=G77,IF(ISNUMBER(F77),F77+1,1),1)))</x:f>
      </x:c>
      <x:c r="G78" s="83" t="str">
        <x:f>IF(NOT(ISNUMBER(E78)),"",IF(E78=0,IF(ISNUMBER(G77),G77,0),E78))</x:f>
      </x:c>
      <x:c r="H78" s="83" t="str">
        <x:f>IF(NOT(ISNUMBER(B78)),"",IF(NOT(ISNUMBER(B77)),1,IF(B78=B77,H77,IF(I78=I77,H77+1,2))))</x:f>
      </x:c>
      <x:c r="I78" s="83" t="str">
        <x:f>IF(NOT(ISNUMBER(B78)),"",IF(NOT(ISNUMBER(B77)),0,IF(B78=B77,I77,SIGN(B78-B77))))</x:f>
      </x:c>
      <x:c r="J78" s="46"/>
      <x:c r="K78" s="83" t="str">
        <x:f>IF(NOT(ISNUMBER(B78)),"",IF(NOT(ISNUMBER($N$11)),"Complete 20-point baseline",IF($N$12&lt;'01 Setup'!$B$16,"Collect more points",IF(AND(E78&lt;&gt;0,F78&gt;='01 Setup'!$B$17),"Shift - investigate",IF(AND(B78&lt;&gt;B77,H78&gt;='01 Setup'!$B$18),"Trend - investigate","No screened signal")))))</x:f>
      </x:c>
      <x:c r="L78" s="3"/>
      <x:c r="M78" s="3"/>
      <x:c r="N78" s="3"/>
      <x:c r="O78" s="3"/>
      <x:c r="P78" s="3"/>
      <x:c r="Q78" s="3"/>
      <x:c r="R78" s="3"/>
    </x:row>
    <x:row r="79" ht="34" customHeight="1">
      <x:c r="A79" s="46" t="n">
        <x:v>70</x:v>
      </x:c>
      <x:c r="B79" s="110"/>
      <x:c r="C79" s="86" t="str">
        <x:f>IF(AND(ISNUMBER(B79),ISNUMBER($N$11)),$N$11,"")</x:f>
      </x:c>
      <x:c r="D79" s="86" t="str">
        <x:f>IF(AND(ISNUMBER(B79),ISNUMBER($N$10)),$N$10,"")</x:f>
      </x:c>
      <x:c r="E79" s="83" t="str">
        <x:f>IF(AND(ISNUMBER(B79),ISNUMBER($N$11)),SIGN(B79-$N$11),"")</x:f>
      </x:c>
      <x:c r="F79" s="83" t="str">
        <x:f>IF(NOT(ISNUMBER(E79)),"",IF(E79=0,IF(ISNUMBER(F78),F78,0),IF(E79=G78,IF(ISNUMBER(F78),F78+1,1),1)))</x:f>
      </x:c>
      <x:c r="G79" s="83" t="str">
        <x:f>IF(NOT(ISNUMBER(E79)),"",IF(E79=0,IF(ISNUMBER(G78),G78,0),E79))</x:f>
      </x:c>
      <x:c r="H79" s="83" t="str">
        <x:f>IF(NOT(ISNUMBER(B79)),"",IF(NOT(ISNUMBER(B78)),1,IF(B79=B78,H78,IF(I79=I78,H78+1,2))))</x:f>
      </x:c>
      <x:c r="I79" s="83" t="str">
        <x:f>IF(NOT(ISNUMBER(B79)),"",IF(NOT(ISNUMBER(B78)),0,IF(B79=B78,I78,SIGN(B79-B78))))</x:f>
      </x:c>
      <x:c r="J79" s="46"/>
      <x:c r="K79" s="83" t="str">
        <x:f>IF(NOT(ISNUMBER(B79)),"",IF(NOT(ISNUMBER($N$11)),"Complete 20-point baseline",IF($N$12&lt;'01 Setup'!$B$16,"Collect more points",IF(AND(E79&lt;&gt;0,F79&gt;='01 Setup'!$B$17),"Shift - investigate",IF(AND(B79&lt;&gt;B78,H79&gt;='01 Setup'!$B$18),"Trend - investigate","No screened signal")))))</x:f>
      </x:c>
      <x:c r="L79" s="3"/>
      <x:c r="M79" s="3"/>
      <x:c r="N79" s="3"/>
      <x:c r="O79" s="3"/>
      <x:c r="P79" s="3"/>
      <x:c r="Q79" s="3"/>
      <x:c r="R79" s="3"/>
    </x:row>
    <x:row r="80" ht="34" customHeight="1">
      <x:c r="A80" s="46" t="n">
        <x:v>71</x:v>
      </x:c>
      <x:c r="B80" s="110"/>
      <x:c r="C80" s="86" t="str">
        <x:f>IF(AND(ISNUMBER(B80),ISNUMBER($N$11)),$N$11,"")</x:f>
      </x:c>
      <x:c r="D80" s="86" t="str">
        <x:f>IF(AND(ISNUMBER(B80),ISNUMBER($N$10)),$N$10,"")</x:f>
      </x:c>
      <x:c r="E80" s="83" t="str">
        <x:f>IF(AND(ISNUMBER(B80),ISNUMBER($N$11)),SIGN(B80-$N$11),"")</x:f>
      </x:c>
      <x:c r="F80" s="83" t="str">
        <x:f>IF(NOT(ISNUMBER(E80)),"",IF(E80=0,IF(ISNUMBER(F79),F79,0),IF(E80=G79,IF(ISNUMBER(F79),F79+1,1),1)))</x:f>
      </x:c>
      <x:c r="G80" s="83" t="str">
        <x:f>IF(NOT(ISNUMBER(E80)),"",IF(E80=0,IF(ISNUMBER(G79),G79,0),E80))</x:f>
      </x:c>
      <x:c r="H80" s="83" t="str">
        <x:f>IF(NOT(ISNUMBER(B80)),"",IF(NOT(ISNUMBER(B79)),1,IF(B80=B79,H79,IF(I80=I79,H79+1,2))))</x:f>
      </x:c>
      <x:c r="I80" s="83" t="str">
        <x:f>IF(NOT(ISNUMBER(B80)),"",IF(NOT(ISNUMBER(B79)),0,IF(B80=B79,I79,SIGN(B80-B79))))</x:f>
      </x:c>
      <x:c r="J80" s="46"/>
      <x:c r="K80" s="83" t="str">
        <x:f>IF(NOT(ISNUMBER(B80)),"",IF(NOT(ISNUMBER($N$11)),"Complete 20-point baseline",IF($N$12&lt;'01 Setup'!$B$16,"Collect more points",IF(AND(E80&lt;&gt;0,F80&gt;='01 Setup'!$B$17),"Shift - investigate",IF(AND(B80&lt;&gt;B79,H80&gt;='01 Setup'!$B$18),"Trend - investigate","No screened signal")))))</x:f>
      </x:c>
      <x:c r="L80" s="3"/>
      <x:c r="M80" s="3"/>
      <x:c r="N80" s="3"/>
      <x:c r="O80" s="3"/>
      <x:c r="P80" s="3"/>
      <x:c r="Q80" s="3"/>
      <x:c r="R80" s="3"/>
    </x:row>
    <x:row r="81" ht="34" customHeight="1">
      <x:c r="A81" s="46" t="n">
        <x:v>72</x:v>
      </x:c>
      <x:c r="B81" s="110"/>
      <x:c r="C81" s="86" t="str">
        <x:f>IF(AND(ISNUMBER(B81),ISNUMBER($N$11)),$N$11,"")</x:f>
      </x:c>
      <x:c r="D81" s="86" t="str">
        <x:f>IF(AND(ISNUMBER(B81),ISNUMBER($N$10)),$N$10,"")</x:f>
      </x:c>
      <x:c r="E81" s="83" t="str">
        <x:f>IF(AND(ISNUMBER(B81),ISNUMBER($N$11)),SIGN(B81-$N$11),"")</x:f>
      </x:c>
      <x:c r="F81" s="83" t="str">
        <x:f>IF(NOT(ISNUMBER(E81)),"",IF(E81=0,IF(ISNUMBER(F80),F80,0),IF(E81=G80,IF(ISNUMBER(F80),F80+1,1),1)))</x:f>
      </x:c>
      <x:c r="G81" s="83" t="str">
        <x:f>IF(NOT(ISNUMBER(E81)),"",IF(E81=0,IF(ISNUMBER(G80),G80,0),E81))</x:f>
      </x:c>
      <x:c r="H81" s="83" t="str">
        <x:f>IF(NOT(ISNUMBER(B81)),"",IF(NOT(ISNUMBER(B80)),1,IF(B81=B80,H80,IF(I81=I80,H80+1,2))))</x:f>
      </x:c>
      <x:c r="I81" s="83" t="str">
        <x:f>IF(NOT(ISNUMBER(B81)),"",IF(NOT(ISNUMBER(B80)),0,IF(B81=B80,I80,SIGN(B81-B80))))</x:f>
      </x:c>
      <x:c r="J81" s="46"/>
      <x:c r="K81" s="83" t="str">
        <x:f>IF(NOT(ISNUMBER(B81)),"",IF(NOT(ISNUMBER($N$11)),"Complete 20-point baseline",IF($N$12&lt;'01 Setup'!$B$16,"Collect more points",IF(AND(E81&lt;&gt;0,F81&gt;='01 Setup'!$B$17),"Shift - investigate",IF(AND(B81&lt;&gt;B80,H81&gt;='01 Setup'!$B$18),"Trend - investigate","No screened signal")))))</x:f>
      </x:c>
      <x:c r="L81" s="3"/>
      <x:c r="M81" s="3"/>
      <x:c r="N81" s="3"/>
      <x:c r="O81" s="3"/>
      <x:c r="P81" s="3"/>
      <x:c r="Q81" s="3"/>
      <x:c r="R81" s="3"/>
    </x:row>
    <x:row r="82" ht="34" customHeight="1">
      <x:c r="A82" s="46" t="n">
        <x:v>73</x:v>
      </x:c>
      <x:c r="B82" s="110"/>
      <x:c r="C82" s="86" t="str">
        <x:f>IF(AND(ISNUMBER(B82),ISNUMBER($N$11)),$N$11,"")</x:f>
      </x:c>
      <x:c r="D82" s="86" t="str">
        <x:f>IF(AND(ISNUMBER(B82),ISNUMBER($N$10)),$N$10,"")</x:f>
      </x:c>
      <x:c r="E82" s="83" t="str">
        <x:f>IF(AND(ISNUMBER(B82),ISNUMBER($N$11)),SIGN(B82-$N$11),"")</x:f>
      </x:c>
      <x:c r="F82" s="83" t="str">
        <x:f>IF(NOT(ISNUMBER(E82)),"",IF(E82=0,IF(ISNUMBER(F81),F81,0),IF(E82=G81,IF(ISNUMBER(F81),F81+1,1),1)))</x:f>
      </x:c>
      <x:c r="G82" s="83" t="str">
        <x:f>IF(NOT(ISNUMBER(E82)),"",IF(E82=0,IF(ISNUMBER(G81),G81,0),E82))</x:f>
      </x:c>
      <x:c r="H82" s="83" t="str">
        <x:f>IF(NOT(ISNUMBER(B82)),"",IF(NOT(ISNUMBER(B81)),1,IF(B82=B81,H81,IF(I82=I81,H81+1,2))))</x:f>
      </x:c>
      <x:c r="I82" s="83" t="str">
        <x:f>IF(NOT(ISNUMBER(B82)),"",IF(NOT(ISNUMBER(B81)),0,IF(B82=B81,I81,SIGN(B82-B81))))</x:f>
      </x:c>
      <x:c r="J82" s="46"/>
      <x:c r="K82" s="83" t="str">
        <x:f>IF(NOT(ISNUMBER(B82)),"",IF(NOT(ISNUMBER($N$11)),"Complete 20-point baseline",IF($N$12&lt;'01 Setup'!$B$16,"Collect more points",IF(AND(E82&lt;&gt;0,F82&gt;='01 Setup'!$B$17),"Shift - investigate",IF(AND(B82&lt;&gt;B81,H82&gt;='01 Setup'!$B$18),"Trend - investigate","No screened signal")))))</x:f>
      </x:c>
      <x:c r="L82" s="3"/>
      <x:c r="M82" s="3"/>
      <x:c r="N82" s="3"/>
      <x:c r="O82" s="3"/>
      <x:c r="P82" s="3"/>
      <x:c r="Q82" s="3"/>
      <x:c r="R82" s="3"/>
    </x:row>
    <x:row r="83" ht="34" customHeight="1">
      <x:c r="A83" s="46" t="n">
        <x:v>74</x:v>
      </x:c>
      <x:c r="B83" s="110"/>
      <x:c r="C83" s="86" t="str">
        <x:f>IF(AND(ISNUMBER(B83),ISNUMBER($N$11)),$N$11,"")</x:f>
      </x:c>
      <x:c r="D83" s="86" t="str">
        <x:f>IF(AND(ISNUMBER(B83),ISNUMBER($N$10)),$N$10,"")</x:f>
      </x:c>
      <x:c r="E83" s="83" t="str">
        <x:f>IF(AND(ISNUMBER(B83),ISNUMBER($N$11)),SIGN(B83-$N$11),"")</x:f>
      </x:c>
      <x:c r="F83" s="83" t="str">
        <x:f>IF(NOT(ISNUMBER(E83)),"",IF(E83=0,IF(ISNUMBER(F82),F82,0),IF(E83=G82,IF(ISNUMBER(F82),F82+1,1),1)))</x:f>
      </x:c>
      <x:c r="G83" s="83" t="str">
        <x:f>IF(NOT(ISNUMBER(E83)),"",IF(E83=0,IF(ISNUMBER(G82),G82,0),E83))</x:f>
      </x:c>
      <x:c r="H83" s="83" t="str">
        <x:f>IF(NOT(ISNUMBER(B83)),"",IF(NOT(ISNUMBER(B82)),1,IF(B83=B82,H82,IF(I83=I82,H82+1,2))))</x:f>
      </x:c>
      <x:c r="I83" s="83" t="str">
        <x:f>IF(NOT(ISNUMBER(B83)),"",IF(NOT(ISNUMBER(B82)),0,IF(B83=B82,I82,SIGN(B83-B82))))</x:f>
      </x:c>
      <x:c r="J83" s="46"/>
      <x:c r="K83" s="83" t="str">
        <x:f>IF(NOT(ISNUMBER(B83)),"",IF(NOT(ISNUMBER($N$11)),"Complete 20-point baseline",IF($N$12&lt;'01 Setup'!$B$16,"Collect more points",IF(AND(E83&lt;&gt;0,F83&gt;='01 Setup'!$B$17),"Shift - investigate",IF(AND(B83&lt;&gt;B82,H83&gt;='01 Setup'!$B$18),"Trend - investigate","No screened signal")))))</x:f>
      </x:c>
      <x:c r="L83" s="3"/>
      <x:c r="M83" s="3"/>
      <x:c r="N83" s="3"/>
      <x:c r="O83" s="3"/>
      <x:c r="P83" s="3"/>
      <x:c r="Q83" s="3"/>
      <x:c r="R83" s="3"/>
    </x:row>
    <x:row r="84" ht="34" customHeight="1">
      <x:c r="A84" s="46" t="n">
        <x:v>75</x:v>
      </x:c>
      <x:c r="B84" s="110"/>
      <x:c r="C84" s="86" t="str">
        <x:f>IF(AND(ISNUMBER(B84),ISNUMBER($N$11)),$N$11,"")</x:f>
      </x:c>
      <x:c r="D84" s="86" t="str">
        <x:f>IF(AND(ISNUMBER(B84),ISNUMBER($N$10)),$N$10,"")</x:f>
      </x:c>
      <x:c r="E84" s="83" t="str">
        <x:f>IF(AND(ISNUMBER(B84),ISNUMBER($N$11)),SIGN(B84-$N$11),"")</x:f>
      </x:c>
      <x:c r="F84" s="83" t="str">
        <x:f>IF(NOT(ISNUMBER(E84)),"",IF(E84=0,IF(ISNUMBER(F83),F83,0),IF(E84=G83,IF(ISNUMBER(F83),F83+1,1),1)))</x:f>
      </x:c>
      <x:c r="G84" s="83" t="str">
        <x:f>IF(NOT(ISNUMBER(E84)),"",IF(E84=0,IF(ISNUMBER(G83),G83,0),E84))</x:f>
      </x:c>
      <x:c r="H84" s="83" t="str">
        <x:f>IF(NOT(ISNUMBER(B84)),"",IF(NOT(ISNUMBER(B83)),1,IF(B84=B83,H83,IF(I84=I83,H83+1,2))))</x:f>
      </x:c>
      <x:c r="I84" s="83" t="str">
        <x:f>IF(NOT(ISNUMBER(B84)),"",IF(NOT(ISNUMBER(B83)),0,IF(B84=B83,I83,SIGN(B84-B83))))</x:f>
      </x:c>
      <x:c r="J84" s="46"/>
      <x:c r="K84" s="83" t="str">
        <x:f>IF(NOT(ISNUMBER(B84)),"",IF(NOT(ISNUMBER($N$11)),"Complete 20-point baseline",IF($N$12&lt;'01 Setup'!$B$16,"Collect more points",IF(AND(E84&lt;&gt;0,F84&gt;='01 Setup'!$B$17),"Shift - investigate",IF(AND(B84&lt;&gt;B83,H84&gt;='01 Setup'!$B$18),"Trend - investigate","No screened signal")))))</x:f>
      </x:c>
      <x:c r="L84" s="3"/>
      <x:c r="M84" s="3"/>
      <x:c r="N84" s="3"/>
      <x:c r="O84" s="3"/>
      <x:c r="P84" s="3"/>
      <x:c r="Q84" s="3"/>
      <x:c r="R84" s="3"/>
    </x:row>
    <x:row r="85" ht="34" customHeight="1">
      <x:c r="A85" s="46" t="n">
        <x:v>76</x:v>
      </x:c>
      <x:c r="B85" s="110"/>
      <x:c r="C85" s="86" t="str">
        <x:f>IF(AND(ISNUMBER(B85),ISNUMBER($N$11)),$N$11,"")</x:f>
      </x:c>
      <x:c r="D85" s="86" t="str">
        <x:f>IF(AND(ISNUMBER(B85),ISNUMBER($N$10)),$N$10,"")</x:f>
      </x:c>
      <x:c r="E85" s="83" t="str">
        <x:f>IF(AND(ISNUMBER(B85),ISNUMBER($N$11)),SIGN(B85-$N$11),"")</x:f>
      </x:c>
      <x:c r="F85" s="83" t="str">
        <x:f>IF(NOT(ISNUMBER(E85)),"",IF(E85=0,IF(ISNUMBER(F84),F84,0),IF(E85=G84,IF(ISNUMBER(F84),F84+1,1),1)))</x:f>
      </x:c>
      <x:c r="G85" s="83" t="str">
        <x:f>IF(NOT(ISNUMBER(E85)),"",IF(E85=0,IF(ISNUMBER(G84),G84,0),E85))</x:f>
      </x:c>
      <x:c r="H85" s="83" t="str">
        <x:f>IF(NOT(ISNUMBER(B85)),"",IF(NOT(ISNUMBER(B84)),1,IF(B85=B84,H84,IF(I85=I84,H84+1,2))))</x:f>
      </x:c>
      <x:c r="I85" s="83" t="str">
        <x:f>IF(NOT(ISNUMBER(B85)),"",IF(NOT(ISNUMBER(B84)),0,IF(B85=B84,I84,SIGN(B85-B84))))</x:f>
      </x:c>
      <x:c r="J85" s="46"/>
      <x:c r="K85" s="83" t="str">
        <x:f>IF(NOT(ISNUMBER(B85)),"",IF(NOT(ISNUMBER($N$11)),"Complete 20-point baseline",IF($N$12&lt;'01 Setup'!$B$16,"Collect more points",IF(AND(E85&lt;&gt;0,F85&gt;='01 Setup'!$B$17),"Shift - investigate",IF(AND(B85&lt;&gt;B84,H85&gt;='01 Setup'!$B$18),"Trend - investigate","No screened signal")))))</x:f>
      </x:c>
      <x:c r="L85" s="3"/>
      <x:c r="M85" s="3"/>
      <x:c r="N85" s="3"/>
      <x:c r="O85" s="3"/>
      <x:c r="P85" s="3"/>
      <x:c r="Q85" s="3"/>
      <x:c r="R85" s="3"/>
    </x:row>
    <x:row r="86" ht="34" customHeight="1">
      <x:c r="A86" s="46" t="n">
        <x:v>77</x:v>
      </x:c>
      <x:c r="B86" s="110"/>
      <x:c r="C86" s="86" t="str">
        <x:f>IF(AND(ISNUMBER(B86),ISNUMBER($N$11)),$N$11,"")</x:f>
      </x:c>
      <x:c r="D86" s="86" t="str">
        <x:f>IF(AND(ISNUMBER(B86),ISNUMBER($N$10)),$N$10,"")</x:f>
      </x:c>
      <x:c r="E86" s="83" t="str">
        <x:f>IF(AND(ISNUMBER(B86),ISNUMBER($N$11)),SIGN(B86-$N$11),"")</x:f>
      </x:c>
      <x:c r="F86" s="83" t="str">
        <x:f>IF(NOT(ISNUMBER(E86)),"",IF(E86=0,IF(ISNUMBER(F85),F85,0),IF(E86=G85,IF(ISNUMBER(F85),F85+1,1),1)))</x:f>
      </x:c>
      <x:c r="G86" s="83" t="str">
        <x:f>IF(NOT(ISNUMBER(E86)),"",IF(E86=0,IF(ISNUMBER(G85),G85,0),E86))</x:f>
      </x:c>
      <x:c r="H86" s="83" t="str">
        <x:f>IF(NOT(ISNUMBER(B86)),"",IF(NOT(ISNUMBER(B85)),1,IF(B86=B85,H85,IF(I86=I85,H85+1,2))))</x:f>
      </x:c>
      <x:c r="I86" s="83" t="str">
        <x:f>IF(NOT(ISNUMBER(B86)),"",IF(NOT(ISNUMBER(B85)),0,IF(B86=B85,I85,SIGN(B86-B85))))</x:f>
      </x:c>
      <x:c r="J86" s="46"/>
      <x:c r="K86" s="83" t="str">
        <x:f>IF(NOT(ISNUMBER(B86)),"",IF(NOT(ISNUMBER($N$11)),"Complete 20-point baseline",IF($N$12&lt;'01 Setup'!$B$16,"Collect more points",IF(AND(E86&lt;&gt;0,F86&gt;='01 Setup'!$B$17),"Shift - investigate",IF(AND(B86&lt;&gt;B85,H86&gt;='01 Setup'!$B$18),"Trend - investigate","No screened signal")))))</x:f>
      </x:c>
      <x:c r="L86" s="3"/>
      <x:c r="M86" s="3"/>
      <x:c r="N86" s="3"/>
      <x:c r="O86" s="3"/>
      <x:c r="P86" s="3"/>
      <x:c r="Q86" s="3"/>
      <x:c r="R86" s="3"/>
    </x:row>
    <x:row r="87" ht="34" customHeight="1">
      <x:c r="A87" s="46" t="n">
        <x:v>78</x:v>
      </x:c>
      <x:c r="B87" s="110"/>
      <x:c r="C87" s="86" t="str">
        <x:f>IF(AND(ISNUMBER(B87),ISNUMBER($N$11)),$N$11,"")</x:f>
      </x:c>
      <x:c r="D87" s="86" t="str">
        <x:f>IF(AND(ISNUMBER(B87),ISNUMBER($N$10)),$N$10,"")</x:f>
      </x:c>
      <x:c r="E87" s="83" t="str">
        <x:f>IF(AND(ISNUMBER(B87),ISNUMBER($N$11)),SIGN(B87-$N$11),"")</x:f>
      </x:c>
      <x:c r="F87" s="83" t="str">
        <x:f>IF(NOT(ISNUMBER(E87)),"",IF(E87=0,IF(ISNUMBER(F86),F86,0),IF(E87=G86,IF(ISNUMBER(F86),F86+1,1),1)))</x:f>
      </x:c>
      <x:c r="G87" s="83" t="str">
        <x:f>IF(NOT(ISNUMBER(E87)),"",IF(E87=0,IF(ISNUMBER(G86),G86,0),E87))</x:f>
      </x:c>
      <x:c r="H87" s="83" t="str">
        <x:f>IF(NOT(ISNUMBER(B87)),"",IF(NOT(ISNUMBER(B86)),1,IF(B87=B86,H86,IF(I87=I86,H86+1,2))))</x:f>
      </x:c>
      <x:c r="I87" s="83" t="str">
        <x:f>IF(NOT(ISNUMBER(B87)),"",IF(NOT(ISNUMBER(B86)),0,IF(B87=B86,I86,SIGN(B87-B86))))</x:f>
      </x:c>
      <x:c r="J87" s="46"/>
      <x:c r="K87" s="83" t="str">
        <x:f>IF(NOT(ISNUMBER(B87)),"",IF(NOT(ISNUMBER($N$11)),"Complete 20-point baseline",IF($N$12&lt;'01 Setup'!$B$16,"Collect more points",IF(AND(E87&lt;&gt;0,F87&gt;='01 Setup'!$B$17),"Shift - investigate",IF(AND(B87&lt;&gt;B86,H87&gt;='01 Setup'!$B$18),"Trend - investigate","No screened signal")))))</x:f>
      </x:c>
      <x:c r="L87" s="3"/>
      <x:c r="M87" s="3"/>
      <x:c r="N87" s="3"/>
      <x:c r="O87" s="3"/>
      <x:c r="P87" s="3"/>
      <x:c r="Q87" s="3"/>
      <x:c r="R87" s="3"/>
    </x:row>
    <x:row r="88" ht="34" customHeight="1">
      <x:c r="A88" s="46" t="n">
        <x:v>79</x:v>
      </x:c>
      <x:c r="B88" s="110"/>
      <x:c r="C88" s="86" t="str">
        <x:f>IF(AND(ISNUMBER(B88),ISNUMBER($N$11)),$N$11,"")</x:f>
      </x:c>
      <x:c r="D88" s="86" t="str">
        <x:f>IF(AND(ISNUMBER(B88),ISNUMBER($N$10)),$N$10,"")</x:f>
      </x:c>
      <x:c r="E88" s="83" t="str">
        <x:f>IF(AND(ISNUMBER(B88),ISNUMBER($N$11)),SIGN(B88-$N$11),"")</x:f>
      </x:c>
      <x:c r="F88" s="83" t="str">
        <x:f>IF(NOT(ISNUMBER(E88)),"",IF(E88=0,IF(ISNUMBER(F87),F87,0),IF(E88=G87,IF(ISNUMBER(F87),F87+1,1),1)))</x:f>
      </x:c>
      <x:c r="G88" s="83" t="str">
        <x:f>IF(NOT(ISNUMBER(E88)),"",IF(E88=0,IF(ISNUMBER(G87),G87,0),E88))</x:f>
      </x:c>
      <x:c r="H88" s="83" t="str">
        <x:f>IF(NOT(ISNUMBER(B88)),"",IF(NOT(ISNUMBER(B87)),1,IF(B88=B87,H87,IF(I88=I87,H87+1,2))))</x:f>
      </x:c>
      <x:c r="I88" s="83" t="str">
        <x:f>IF(NOT(ISNUMBER(B88)),"",IF(NOT(ISNUMBER(B87)),0,IF(B88=B87,I87,SIGN(B88-B87))))</x:f>
      </x:c>
      <x:c r="J88" s="46"/>
      <x:c r="K88" s="83" t="str">
        <x:f>IF(NOT(ISNUMBER(B88)),"",IF(NOT(ISNUMBER($N$11)),"Complete 20-point baseline",IF($N$12&lt;'01 Setup'!$B$16,"Collect more points",IF(AND(E88&lt;&gt;0,F88&gt;='01 Setup'!$B$17),"Shift - investigate",IF(AND(B88&lt;&gt;B87,H88&gt;='01 Setup'!$B$18),"Trend - investigate","No screened signal")))))</x:f>
      </x:c>
      <x:c r="L88" s="3"/>
      <x:c r="M88" s="3"/>
      <x:c r="N88" s="3"/>
      <x:c r="O88" s="3"/>
      <x:c r="P88" s="3"/>
      <x:c r="Q88" s="3"/>
      <x:c r="R88" s="3"/>
    </x:row>
    <x:row r="89" ht="34" customHeight="1">
      <x:c r="A89" s="46" t="n">
        <x:v>80</x:v>
      </x:c>
      <x:c r="B89" s="110"/>
      <x:c r="C89" s="86" t="str">
        <x:f>IF(AND(ISNUMBER(B89),ISNUMBER($N$11)),$N$11,"")</x:f>
      </x:c>
      <x:c r="D89" s="86" t="str">
        <x:f>IF(AND(ISNUMBER(B89),ISNUMBER($N$10)),$N$10,"")</x:f>
      </x:c>
      <x:c r="E89" s="83" t="str">
        <x:f>IF(AND(ISNUMBER(B89),ISNUMBER($N$11)),SIGN(B89-$N$11),"")</x:f>
      </x:c>
      <x:c r="F89" s="83" t="str">
        <x:f>IF(NOT(ISNUMBER(E89)),"",IF(E89=0,IF(ISNUMBER(F88),F88,0),IF(E89=G88,IF(ISNUMBER(F88),F88+1,1),1)))</x:f>
      </x:c>
      <x:c r="G89" s="83" t="str">
        <x:f>IF(NOT(ISNUMBER(E89)),"",IF(E89=0,IF(ISNUMBER(G88),G88,0),E89))</x:f>
      </x:c>
      <x:c r="H89" s="83" t="str">
        <x:f>IF(NOT(ISNUMBER(B89)),"",IF(NOT(ISNUMBER(B88)),1,IF(B89=B88,H88,IF(I89=I88,H88+1,2))))</x:f>
      </x:c>
      <x:c r="I89" s="83" t="str">
        <x:f>IF(NOT(ISNUMBER(B89)),"",IF(NOT(ISNUMBER(B88)),0,IF(B89=B88,I88,SIGN(B89-B88))))</x:f>
      </x:c>
      <x:c r="J89" s="46"/>
      <x:c r="K89" s="83" t="str">
        <x:f>IF(NOT(ISNUMBER(B89)),"",IF(NOT(ISNUMBER($N$11)),"Complete 20-point baseline",IF($N$12&lt;'01 Setup'!$B$16,"Collect more points",IF(AND(E89&lt;&gt;0,F89&gt;='01 Setup'!$B$17),"Shift - investigate",IF(AND(B89&lt;&gt;B88,H89&gt;='01 Setup'!$B$18),"Trend - investigate","No screened signal")))))</x:f>
      </x:c>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S03</x:v>
      </x:c>
      <x:c r="B110" s="34"/>
      <x:c r="C110" s="34"/>
      <x:c r="D110" s="34"/>
      <x:c r="E110" s="34"/>
      <x:c r="F110" s="34"/>
      <x:c r="G110" s="34"/>
      <x:c r="H110" s="34"/>
      <x:c r="I110" s="34"/>
      <x:c r="J110" s="34"/>
      <x:c r="K110" s="34"/>
      <x:c r="L110" s="34"/>
      <x:c r="M110" s="3"/>
      <x:c r="N110" s="3"/>
      <x:c r="O110" s="3"/>
      <x:c r="P110" s="3"/>
      <x:c r="Q110" s="3"/>
      <x:c r="R110" s="3"/>
    </x:row>
    <x:row r="111" ht="20" customHeight="1">
      <x:c r="A111" s="40" t="str">
        <x:v>01  Measure and sequence</x:v>
      </x:c>
      <x:c r="B111" s="40"/>
      <x:c r="C111" s="40"/>
      <x:c r="D111" s="17" t="str">
        <x:v>Define unit, order and collection frequency.</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Baseline and target</x:v>
      </x:c>
      <x:c r="B117" s="40"/>
      <x:c r="C117" s="40"/>
      <x:c r="D117" s="17" t="str">
        <x:v>Specify the reference window and target separately.</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Change annotations</x:v>
      </x:c>
      <x:c r="B123" s="40"/>
      <x:c r="C123" s="40"/>
      <x:c r="D123" s="17" t="str">
        <x:v>Record test versions and external events.</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Rule set and screening</x:v>
      </x:c>
      <x:c r="B129" s="40"/>
      <x:c r="C129" s="40"/>
      <x:c r="D129" s="17" t="str">
        <x:v>State the selected convention and exclusions.</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Signal review</x:v>
      </x:c>
      <x:c r="B135" s="40"/>
      <x:c r="C135" s="40"/>
      <x:c r="D135" s="17" t="str">
        <x:v>Describe patterns and plausible explanations.</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Action and re-baselining</x:v>
      </x:c>
      <x:c r="B141" s="40"/>
      <x:c r="C141" s="40"/>
      <x:c r="D141" s="17" t="str">
        <x:v>Record response and any new phase decision.</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The workbook screens shifts and trends only; it does not automate the full runs-table or astronomical-point judgement. Signals are prompts to investigate, not proof of causation. Do not calculate the baseline from a mixture of pre-change and post-change values merely to make a chart look stable.</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S04, S05, S12, A05  |  METHOD SOURCES: U01, R05, R41</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s>
  <x:pageMargins left="0.7" right="0.7" top="0.75" bottom="0.75" header="0.3" footer="0.3"/>
  <x:drawing xmlns:r="http://schemas.openxmlformats.org/officeDocument/2006/relationships" r:id="Rb32b5693e9bc4523"/>
</x:worksheet>
</file>

<file path=xl/worksheets/sheet32.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0" hidden="0" customWidth="1"/>
    <x:col min="2" max="2" width="16" hidden="0" customWidth="1"/>
    <x:col min="3" max="3" width="16" hidden="0" customWidth="1"/>
    <x:col min="4" max="4" width="15" hidden="0" customWidth="1"/>
    <x:col min="5" max="5" width="15" hidden="0" customWidth="1"/>
    <x:col min="6" max="6" width="15" hidden="0" customWidth="1"/>
    <x:col min="7" max="7" width="15" hidden="0" customWidth="1"/>
    <x:col min="8" max="8" width="15" hidden="0" customWidth="1"/>
    <x:col min="9" max="9" width="28" hidden="0" customWidth="1"/>
    <x:col min="10" max="10" width="11" hidden="0" customWidth="1"/>
    <x:col min="11" max="11" width="24" hidden="0" customWidth="1"/>
    <x:col min="12" max="12" width="27"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S04  Individuals and moving-range chart</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Explore variation in a continuous measure with an appropriate, reviewed baseline.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Order</x:v>
      </x:c>
      <x:c r="B9" s="77" t="str">
        <x:v>Observation</x:v>
      </x:c>
      <x:c r="C9" s="77" t="str">
        <x:v>Moving range</x:v>
      </x:c>
      <x:c r="D9" s="77" t="str">
        <x:v>I centre</x:v>
      </x:c>
      <x:c r="E9" s="77" t="str">
        <x:v>I LCL</x:v>
      </x:c>
      <x:c r="F9" s="77" t="str">
        <x:v>I UCL</x:v>
      </x:c>
      <x:c r="G9" s="77" t="str">
        <x:v>MR centre</x:v>
      </x:c>
      <x:c r="H9" s="77" t="str">
        <x:v>MR UCL</x:v>
      </x:c>
      <x:c r="I9" s="77" t="str">
        <x:v>Point flag</x:v>
      </x:c>
      <x:c r="J9" s="3"/>
      <x:c r="K9" s="3"/>
      <x:c r="L9" s="3"/>
      <x:c r="M9" s="3"/>
      <x:c r="N9" s="3"/>
      <x:c r="O9" s="3"/>
      <x:c r="P9" s="3"/>
      <x:c r="Q9" s="3"/>
      <x:c r="R9" s="3"/>
    </x:row>
    <x:row r="10" ht="34" customHeight="1">
      <x:c r="A10" s="46" t="n">
        <x:v>1</x:v>
      </x:c>
      <x:c r="B10" s="112"/>
      <x:c r="C10" s="112"/>
      <x:c r="D10" s="113" t="str">
        <x:f>IF(AND(ISNUMBER(B10),ISNUMBER($L$11)),$L$11,"")</x:f>
      </x:c>
      <x:c r="E10" s="113" t="str">
        <x:f>IF(AND(ISNUMBER(B10),ISNUMBER($L$14)),$L$14,"")</x:f>
      </x:c>
      <x:c r="F10" s="113" t="str">
        <x:f>IF(AND(ISNUMBER(B10),ISNUMBER($L$15)),$L$15,"")</x:f>
      </x:c>
      <x:c r="G10" s="113" t="str">
        <x:f>IF(AND(ISNUMBER(B10),ISNUMBER($L$12)),$L$12,"")</x:f>
      </x:c>
      <x:c r="H10" s="113" t="str">
        <x:f>IF(AND(ISNUMBER(B10),ISNUMBER($L$12),$L$12&gt;0),$L$12*'01 Setup'!$B$14,"")</x:f>
      </x:c>
      <x:c r="I10" s="83" t="str">
        <x:f>IF(NOT(ISNUMBER(B10)),"",IF(NOT(ISNUMBER($L$14)),"Review baseline",IF(OR(B10&lt;E10,B10&gt;F10),"I outside limit",IF(AND(ISNUMBER(C10),ISNUMBER(H10),C10&gt;H10),"MR outside limit","No point beyond limits"))))</x:f>
      </x:c>
      <x:c r="J10" s="3"/>
      <x:c r="K10" s="95" t="str">
        <x:v>Baseline count</x:v>
      </x:c>
      <x:c r="L10" s="83" t="n">
        <x:f>COUNT(B10:B29)</x:f>
        <x:v>0</x:v>
      </x:c>
      <x:c r="M10" s="3"/>
      <x:c r="N10" s="3"/>
      <x:c r="O10" s="3"/>
      <x:c r="P10" s="3"/>
      <x:c r="Q10" s="3"/>
      <x:c r="R10" s="3"/>
    </x:row>
    <x:row r="11" ht="34" customHeight="1">
      <x:c r="A11" s="46" t="n">
        <x:v>2</x:v>
      </x:c>
      <x:c r="B11" s="112"/>
      <x:c r="C11" s="113" t="str">
        <x:f>IF(COUNT(B10:B11)=2,ABS(B11-B10),"")</x:f>
      </x:c>
      <x:c r="D11" s="113" t="str">
        <x:f>IF(AND(ISNUMBER(B11),ISNUMBER($L$11)),$L$11,"")</x:f>
      </x:c>
      <x:c r="E11" s="113" t="str">
        <x:f>IF(AND(ISNUMBER(B11),ISNUMBER($L$14)),$L$14,"")</x:f>
      </x:c>
      <x:c r="F11" s="113" t="str">
        <x:f>IF(AND(ISNUMBER(B11),ISNUMBER($L$15)),$L$15,"")</x:f>
      </x:c>
      <x:c r="G11" s="113" t="str">
        <x:f>IF(AND(ISNUMBER(B11),ISNUMBER($L$12)),$L$12,"")</x:f>
      </x:c>
      <x:c r="H11" s="113" t="str">
        <x:f>IF(AND(ISNUMBER(B11),ISNUMBER($L$12),$L$12&gt;0),$L$12*'01 Setup'!$B$14,"")</x:f>
      </x:c>
      <x:c r="I11" s="83" t="str">
        <x:f>IF(NOT(ISNUMBER(B11)),"",IF(NOT(ISNUMBER($L$14)),"Review baseline",IF(OR(B11&lt;E11,B11&gt;F11),"I outside limit",IF(AND(ISNUMBER(C11),ISNUMBER(H11),C11&gt;H11),"MR outside limit","No point beyond limits"))))</x:f>
      </x:c>
      <x:c r="J11" s="3"/>
      <x:c r="K11" s="95" t="str">
        <x:v>Mean</x:v>
      </x:c>
      <x:c r="L11" s="113" t="str">
        <x:f>IF(L10=20,AVERAGE(B10:B29),"")</x:f>
      </x:c>
      <x:c r="M11" s="3"/>
      <x:c r="N11" s="3"/>
      <x:c r="O11" s="3"/>
      <x:c r="P11" s="3"/>
      <x:c r="Q11" s="3"/>
      <x:c r="R11" s="3"/>
    </x:row>
    <x:row r="12" ht="34" customHeight="1">
      <x:c r="A12" s="46" t="n">
        <x:v>3</x:v>
      </x:c>
      <x:c r="B12" s="112"/>
      <x:c r="C12" s="113" t="str">
        <x:f>IF(COUNT(B11:B12)=2,ABS(B12-B11),"")</x:f>
      </x:c>
      <x:c r="D12" s="113" t="str">
        <x:f>IF(AND(ISNUMBER(B12),ISNUMBER($L$11)),$L$11,"")</x:f>
      </x:c>
      <x:c r="E12" s="113" t="str">
        <x:f>IF(AND(ISNUMBER(B12),ISNUMBER($L$14)),$L$14,"")</x:f>
      </x:c>
      <x:c r="F12" s="113" t="str">
        <x:f>IF(AND(ISNUMBER(B12),ISNUMBER($L$15)),$L$15,"")</x:f>
      </x:c>
      <x:c r="G12" s="113" t="str">
        <x:f>IF(AND(ISNUMBER(B12),ISNUMBER($L$12)),$L$12,"")</x:f>
      </x:c>
      <x:c r="H12" s="113" t="str">
        <x:f>IF(AND(ISNUMBER(B12),ISNUMBER($L$12),$L$12&gt;0),$L$12*'01 Setup'!$B$14,"")</x:f>
      </x:c>
      <x:c r="I12" s="83" t="str">
        <x:f>IF(NOT(ISNUMBER(B12)),"",IF(NOT(ISNUMBER($L$14)),"Review baseline",IF(OR(B12&lt;E12,B12&gt;F12),"I outside limit",IF(AND(ISNUMBER(C12),ISNUMBER(H12),C12&gt;H12),"MR outside limit","No point beyond limits"))))</x:f>
      </x:c>
      <x:c r="J12" s="3"/>
      <x:c r="K12" s="95" t="str">
        <x:v>MR mean</x:v>
      </x:c>
      <x:c r="L12" s="113" t="str">
        <x:f>IF(AND(L10=20,COUNT(C11:C29)=19),AVERAGE(C11:C29),"")</x:f>
      </x:c>
      <x:c r="M12" s="3"/>
      <x:c r="N12" s="3"/>
      <x:c r="O12" s="3"/>
      <x:c r="P12" s="3"/>
      <x:c r="Q12" s="3"/>
      <x:c r="R12" s="3"/>
    </x:row>
    <x:row r="13" ht="34" customHeight="1">
      <x:c r="A13" s="46" t="n">
        <x:v>4</x:v>
      </x:c>
      <x:c r="B13" s="112"/>
      <x:c r="C13" s="113" t="str">
        <x:f>IF(COUNT(B12:B13)=2,ABS(B13-B12),"")</x:f>
      </x:c>
      <x:c r="D13" s="113" t="str">
        <x:f>IF(AND(ISNUMBER(B13),ISNUMBER($L$11)),$L$11,"")</x:f>
      </x:c>
      <x:c r="E13" s="113" t="str">
        <x:f>IF(AND(ISNUMBER(B13),ISNUMBER($L$14)),$L$14,"")</x:f>
      </x:c>
      <x:c r="F13" s="113" t="str">
        <x:f>IF(AND(ISNUMBER(B13),ISNUMBER($L$15)),$L$15,"")</x:f>
      </x:c>
      <x:c r="G13" s="113" t="str">
        <x:f>IF(AND(ISNUMBER(B13),ISNUMBER($L$12)),$L$12,"")</x:f>
      </x:c>
      <x:c r="H13" s="113" t="str">
        <x:f>IF(AND(ISNUMBER(B13),ISNUMBER($L$12),$L$12&gt;0),$L$12*'01 Setup'!$B$14,"")</x:f>
      </x:c>
      <x:c r="I13" s="83" t="str">
        <x:f>IF(NOT(ISNUMBER(B13)),"",IF(NOT(ISNUMBER($L$14)),"Review baseline",IF(OR(B13&lt;E13,B13&gt;F13),"I outside limit",IF(AND(ISNUMBER(C13),ISNUMBER(H13),C13&gt;H13),"MR outside limit","No point beyond limits"))))</x:f>
      </x:c>
      <x:c r="J13" s="3"/>
      <x:c r="K13" s="95" t="str">
        <x:v>Sigma estimate</x:v>
      </x:c>
      <x:c r="L13" s="113" t="str">
        <x:f>IF(AND(ISNUMBER(L12),L12&gt;0),L12/'01 Setup'!$B$13,"")</x:f>
      </x:c>
      <x:c r="M13" s="3"/>
      <x:c r="N13" s="3"/>
      <x:c r="O13" s="3"/>
      <x:c r="P13" s="3"/>
      <x:c r="Q13" s="3"/>
      <x:c r="R13" s="3"/>
    </x:row>
    <x:row r="14" ht="34" customHeight="1">
      <x:c r="A14" s="46" t="n">
        <x:v>5</x:v>
      </x:c>
      <x:c r="B14" s="112"/>
      <x:c r="C14" s="113" t="str">
        <x:f>IF(COUNT(B13:B14)=2,ABS(B14-B13),"")</x:f>
      </x:c>
      <x:c r="D14" s="113" t="str">
        <x:f>IF(AND(ISNUMBER(B14),ISNUMBER($L$11)),$L$11,"")</x:f>
      </x:c>
      <x:c r="E14" s="113" t="str">
        <x:f>IF(AND(ISNUMBER(B14),ISNUMBER($L$14)),$L$14,"")</x:f>
      </x:c>
      <x:c r="F14" s="113" t="str">
        <x:f>IF(AND(ISNUMBER(B14),ISNUMBER($L$15)),$L$15,"")</x:f>
      </x:c>
      <x:c r="G14" s="113" t="str">
        <x:f>IF(AND(ISNUMBER(B14),ISNUMBER($L$12)),$L$12,"")</x:f>
      </x:c>
      <x:c r="H14" s="113" t="str">
        <x:f>IF(AND(ISNUMBER(B14),ISNUMBER($L$12),$L$12&gt;0),$L$12*'01 Setup'!$B$14,"")</x:f>
      </x:c>
      <x:c r="I14" s="83" t="str">
        <x:f>IF(NOT(ISNUMBER(B14)),"",IF(NOT(ISNUMBER($L$14)),"Review baseline",IF(OR(B14&lt;E14,B14&gt;F14),"I outside limit",IF(AND(ISNUMBER(C14),ISNUMBER(H14),C14&gt;H14),"MR outside limit","No point beyond limits"))))</x:f>
      </x:c>
      <x:c r="J14" s="3"/>
      <x:c r="K14" s="95" t="str">
        <x:v>I LCL</x:v>
      </x:c>
      <x:c r="L14" s="113" t="str">
        <x:f>IF(AND(ISNUMBER(L11),ISNUMBER(L13)),L11-'01 Setup'!$B$15*L13,"")</x:f>
      </x:c>
      <x:c r="M14" s="3"/>
      <x:c r="N14" s="3"/>
      <x:c r="O14" s="3"/>
      <x:c r="P14" s="3"/>
      <x:c r="Q14" s="3"/>
      <x:c r="R14" s="3"/>
    </x:row>
    <x:row r="15" ht="34" customHeight="1">
      <x:c r="A15" s="46" t="n">
        <x:v>6</x:v>
      </x:c>
      <x:c r="B15" s="112"/>
      <x:c r="C15" s="113" t="str">
        <x:f>IF(COUNT(B14:B15)=2,ABS(B15-B14),"")</x:f>
      </x:c>
      <x:c r="D15" s="113" t="str">
        <x:f>IF(AND(ISNUMBER(B15),ISNUMBER($L$11)),$L$11,"")</x:f>
      </x:c>
      <x:c r="E15" s="113" t="str">
        <x:f>IF(AND(ISNUMBER(B15),ISNUMBER($L$14)),$L$14,"")</x:f>
      </x:c>
      <x:c r="F15" s="113" t="str">
        <x:f>IF(AND(ISNUMBER(B15),ISNUMBER($L$15)),$L$15,"")</x:f>
      </x:c>
      <x:c r="G15" s="113" t="str">
        <x:f>IF(AND(ISNUMBER(B15),ISNUMBER($L$12)),$L$12,"")</x:f>
      </x:c>
      <x:c r="H15" s="113" t="str">
        <x:f>IF(AND(ISNUMBER(B15),ISNUMBER($L$12),$L$12&gt;0),$L$12*'01 Setup'!$B$14,"")</x:f>
      </x:c>
      <x:c r="I15" s="83" t="str">
        <x:f>IF(NOT(ISNUMBER(B15)),"",IF(NOT(ISNUMBER($L$14)),"Review baseline",IF(OR(B15&lt;E15,B15&gt;F15),"I outside limit",IF(AND(ISNUMBER(C15),ISNUMBER(H15),C15&gt;H15),"MR outside limit","No point beyond limits"))))</x:f>
      </x:c>
      <x:c r="J15" s="3"/>
      <x:c r="K15" s="95" t="str">
        <x:v>I UCL</x:v>
      </x:c>
      <x:c r="L15" s="113" t="str">
        <x:f>IF(AND(ISNUMBER(L11),ISNUMBER(L13)),L11+'01 Setup'!$B$15*L13,"")</x:f>
      </x:c>
      <x:c r="M15" s="3"/>
      <x:c r="N15" s="3"/>
      <x:c r="O15" s="3"/>
      <x:c r="P15" s="3"/>
      <x:c r="Q15" s="3"/>
      <x:c r="R15" s="3"/>
    </x:row>
    <x:row r="16" ht="34" customHeight="1">
      <x:c r="A16" s="46" t="n">
        <x:v>7</x:v>
      </x:c>
      <x:c r="B16" s="112"/>
      <x:c r="C16" s="113" t="str">
        <x:f>IF(COUNT(B15:B16)=2,ABS(B16-B15),"")</x:f>
      </x:c>
      <x:c r="D16" s="113" t="str">
        <x:f>IF(AND(ISNUMBER(B16),ISNUMBER($L$11)),$L$11,"")</x:f>
      </x:c>
      <x:c r="E16" s="113" t="str">
        <x:f>IF(AND(ISNUMBER(B16),ISNUMBER($L$14)),$L$14,"")</x:f>
      </x:c>
      <x:c r="F16" s="113" t="str">
        <x:f>IF(AND(ISNUMBER(B16),ISNUMBER($L$15)),$L$15,"")</x:f>
      </x:c>
      <x:c r="G16" s="113" t="str">
        <x:f>IF(AND(ISNUMBER(B16),ISNUMBER($L$12)),$L$12,"")</x:f>
      </x:c>
      <x:c r="H16" s="113" t="str">
        <x:f>IF(AND(ISNUMBER(B16),ISNUMBER($L$12),$L$12&gt;0),$L$12*'01 Setup'!$B$14,"")</x:f>
      </x:c>
      <x:c r="I16" s="83" t="str">
        <x:f>IF(NOT(ISNUMBER(B16)),"",IF(NOT(ISNUMBER($L$14)),"Review baseline",IF(OR(B16&lt;E16,B16&gt;F16),"I outside limit",IF(AND(ISNUMBER(C16),ISNUMBER(H16),C16&gt;H16),"MR outside limit","No point beyond limits"))))</x:f>
      </x:c>
      <x:c r="J16" s="3"/>
      <x:c r="K16" s="95" t="str">
        <x:v>Readiness</x:v>
      </x:c>
      <x:c r="L16" s="83" t="str">
        <x:f>IF(L10&lt;20,"Complete first 20 baseline values",IF(L12=0,"Zero MR - analytical review","Arithmetic ready; review assumptions"))</x:f>
        <x:v>Complete first 20 baseline values</x:v>
      </x:c>
      <x:c r="M16" s="3"/>
      <x:c r="N16" s="3"/>
      <x:c r="O16" s="3"/>
      <x:c r="P16" s="3"/>
      <x:c r="Q16" s="3"/>
      <x:c r="R16" s="3"/>
    </x:row>
    <x:row r="17" ht="34" customHeight="1">
      <x:c r="A17" s="46" t="n">
        <x:v>8</x:v>
      </x:c>
      <x:c r="B17" s="112"/>
      <x:c r="C17" s="113" t="str">
        <x:f>IF(COUNT(B16:B17)=2,ABS(B17-B16),"")</x:f>
      </x:c>
      <x:c r="D17" s="113" t="str">
        <x:f>IF(AND(ISNUMBER(B17),ISNUMBER($L$11)),$L$11,"")</x:f>
      </x:c>
      <x:c r="E17" s="113" t="str">
        <x:f>IF(AND(ISNUMBER(B17),ISNUMBER($L$14)),$L$14,"")</x:f>
      </x:c>
      <x:c r="F17" s="113" t="str">
        <x:f>IF(AND(ISNUMBER(B17),ISNUMBER($L$15)),$L$15,"")</x:f>
      </x:c>
      <x:c r="G17" s="113" t="str">
        <x:f>IF(AND(ISNUMBER(B17),ISNUMBER($L$12)),$L$12,"")</x:f>
      </x:c>
      <x:c r="H17" s="113" t="str">
        <x:f>IF(AND(ISNUMBER(B17),ISNUMBER($L$12),$L$12&gt;0),$L$12*'01 Setup'!$B$14,"")</x:f>
      </x:c>
      <x:c r="I17" s="83" t="str">
        <x:f>IF(NOT(ISNUMBER(B17)),"",IF(NOT(ISNUMBER($L$14)),"Review baseline",IF(OR(B17&lt;E17,B17&gt;F17),"I outside limit",IF(AND(ISNUMBER(C17),ISNUMBER(H17),C17&gt;H17),"MR outside limit","No point beyond limits"))))</x:f>
      </x:c>
      <x:c r="J17" s="3"/>
      <x:c r="K17" s="3"/>
      <x:c r="L17" s="3"/>
      <x:c r="M17" s="3"/>
      <x:c r="N17" s="3"/>
      <x:c r="O17" s="3"/>
      <x:c r="P17" s="3"/>
      <x:c r="Q17" s="3"/>
      <x:c r="R17" s="3"/>
    </x:row>
    <x:row r="18" ht="34" customHeight="1">
      <x:c r="A18" s="46" t="n">
        <x:v>9</x:v>
      </x:c>
      <x:c r="B18" s="112"/>
      <x:c r="C18" s="113" t="str">
        <x:f>IF(COUNT(B17:B18)=2,ABS(B18-B17),"")</x:f>
      </x:c>
      <x:c r="D18" s="113" t="str">
        <x:f>IF(AND(ISNUMBER(B18),ISNUMBER($L$11)),$L$11,"")</x:f>
      </x:c>
      <x:c r="E18" s="113" t="str">
        <x:f>IF(AND(ISNUMBER(B18),ISNUMBER($L$14)),$L$14,"")</x:f>
      </x:c>
      <x:c r="F18" s="113" t="str">
        <x:f>IF(AND(ISNUMBER(B18),ISNUMBER($L$15)),$L$15,"")</x:f>
      </x:c>
      <x:c r="G18" s="113" t="str">
        <x:f>IF(AND(ISNUMBER(B18),ISNUMBER($L$12)),$L$12,"")</x:f>
      </x:c>
      <x:c r="H18" s="113" t="str">
        <x:f>IF(AND(ISNUMBER(B18),ISNUMBER($L$12),$L$12&gt;0),$L$12*'01 Setup'!$B$14,"")</x:f>
      </x:c>
      <x:c r="I18" s="83" t="str">
        <x:f>IF(NOT(ISNUMBER(B18)),"",IF(NOT(ISNUMBER($L$14)),"Review baseline",IF(OR(B18&lt;E18,B18&gt;F18),"I outside limit",IF(AND(ISNUMBER(C18),ISNUMBER(H18),C18&gt;H18),"MR outside limit","No point beyond limits"))))</x:f>
      </x:c>
      <x:c r="J18" s="3"/>
      <x:c r="K18" s="3"/>
      <x:c r="L18" s="3"/>
      <x:c r="M18" s="3"/>
      <x:c r="N18" s="3"/>
      <x:c r="O18" s="3"/>
      <x:c r="P18" s="3"/>
      <x:c r="Q18" s="3"/>
      <x:c r="R18" s="3"/>
    </x:row>
    <x:row r="19" ht="34" customHeight="1">
      <x:c r="A19" s="46" t="n">
        <x:v>10</x:v>
      </x:c>
      <x:c r="B19" s="112"/>
      <x:c r="C19" s="113" t="str">
        <x:f>IF(COUNT(B18:B19)=2,ABS(B19-B18),"")</x:f>
      </x:c>
      <x:c r="D19" s="113" t="str">
        <x:f>IF(AND(ISNUMBER(B19),ISNUMBER($L$11)),$L$11,"")</x:f>
      </x:c>
      <x:c r="E19" s="113" t="str">
        <x:f>IF(AND(ISNUMBER(B19),ISNUMBER($L$14)),$L$14,"")</x:f>
      </x:c>
      <x:c r="F19" s="113" t="str">
        <x:f>IF(AND(ISNUMBER(B19),ISNUMBER($L$15)),$L$15,"")</x:f>
      </x:c>
      <x:c r="G19" s="113" t="str">
        <x:f>IF(AND(ISNUMBER(B19),ISNUMBER($L$12)),$L$12,"")</x:f>
      </x:c>
      <x:c r="H19" s="113" t="str">
        <x:f>IF(AND(ISNUMBER(B19),ISNUMBER($L$12),$L$12&gt;0),$L$12*'01 Setup'!$B$14,"")</x:f>
      </x:c>
      <x:c r="I19" s="83" t="str">
        <x:f>IF(NOT(ISNUMBER(B19)),"",IF(NOT(ISNUMBER($L$14)),"Review baseline",IF(OR(B19&lt;E19,B19&gt;F19),"I outside limit",IF(AND(ISNUMBER(C19),ISNUMBER(H19),C19&gt;H19),"MR outside limit","No point beyond limits"))))</x:f>
      </x:c>
      <x:c r="J19" s="3"/>
      <x:c r="K19" s="3"/>
      <x:c r="L19" s="3"/>
      <x:c r="M19" s="3"/>
      <x:c r="N19" s="3"/>
      <x:c r="O19" s="3"/>
      <x:c r="P19" s="3"/>
      <x:c r="Q19" s="3"/>
      <x:c r="R19" s="3"/>
    </x:row>
    <x:row r="20" ht="34" customHeight="1">
      <x:c r="A20" s="46" t="n">
        <x:v>11</x:v>
      </x:c>
      <x:c r="B20" s="112"/>
      <x:c r="C20" s="113" t="str">
        <x:f>IF(COUNT(B19:B20)=2,ABS(B20-B19),"")</x:f>
      </x:c>
      <x:c r="D20" s="113" t="str">
        <x:f>IF(AND(ISNUMBER(B20),ISNUMBER($L$11)),$L$11,"")</x:f>
      </x:c>
      <x:c r="E20" s="113" t="str">
        <x:f>IF(AND(ISNUMBER(B20),ISNUMBER($L$14)),$L$14,"")</x:f>
      </x:c>
      <x:c r="F20" s="113" t="str">
        <x:f>IF(AND(ISNUMBER(B20),ISNUMBER($L$15)),$L$15,"")</x:f>
      </x:c>
      <x:c r="G20" s="113" t="str">
        <x:f>IF(AND(ISNUMBER(B20),ISNUMBER($L$12)),$L$12,"")</x:f>
      </x:c>
      <x:c r="H20" s="113" t="str">
        <x:f>IF(AND(ISNUMBER(B20),ISNUMBER($L$12),$L$12&gt;0),$L$12*'01 Setup'!$B$14,"")</x:f>
      </x:c>
      <x:c r="I20" s="83" t="str">
        <x:f>IF(NOT(ISNUMBER(B20)),"",IF(NOT(ISNUMBER($L$14)),"Review baseline",IF(OR(B20&lt;E20,B20&gt;F20),"I outside limit",IF(AND(ISNUMBER(C20),ISNUMBER(H20),C20&gt;H20),"MR outside limit","No point beyond limits"))))</x:f>
      </x:c>
      <x:c r="J20" s="3"/>
      <x:c r="K20" s="3"/>
      <x:c r="L20" s="3"/>
      <x:c r="M20" s="3"/>
      <x:c r="N20" s="3"/>
      <x:c r="O20" s="3"/>
      <x:c r="P20" s="3"/>
      <x:c r="Q20" s="3"/>
      <x:c r="R20" s="3"/>
    </x:row>
    <x:row r="21" ht="34" customHeight="1">
      <x:c r="A21" s="46" t="n">
        <x:v>12</x:v>
      </x:c>
      <x:c r="B21" s="112"/>
      <x:c r="C21" s="113" t="str">
        <x:f>IF(COUNT(B20:B21)=2,ABS(B21-B20),"")</x:f>
      </x:c>
      <x:c r="D21" s="113" t="str">
        <x:f>IF(AND(ISNUMBER(B21),ISNUMBER($L$11)),$L$11,"")</x:f>
      </x:c>
      <x:c r="E21" s="113" t="str">
        <x:f>IF(AND(ISNUMBER(B21),ISNUMBER($L$14)),$L$14,"")</x:f>
      </x:c>
      <x:c r="F21" s="113" t="str">
        <x:f>IF(AND(ISNUMBER(B21),ISNUMBER($L$15)),$L$15,"")</x:f>
      </x:c>
      <x:c r="G21" s="113" t="str">
        <x:f>IF(AND(ISNUMBER(B21),ISNUMBER($L$12)),$L$12,"")</x:f>
      </x:c>
      <x:c r="H21" s="113" t="str">
        <x:f>IF(AND(ISNUMBER(B21),ISNUMBER($L$12),$L$12&gt;0),$L$12*'01 Setup'!$B$14,"")</x:f>
      </x:c>
      <x:c r="I21" s="83" t="str">
        <x:f>IF(NOT(ISNUMBER(B21)),"",IF(NOT(ISNUMBER($L$14)),"Review baseline",IF(OR(B21&lt;E21,B21&gt;F21),"I outside limit",IF(AND(ISNUMBER(C21),ISNUMBER(H21),C21&gt;H21),"MR outside limit","No point beyond limits"))))</x:f>
      </x:c>
      <x:c r="J21" s="3"/>
      <x:c r="K21" s="3"/>
      <x:c r="L21" s="3"/>
      <x:c r="M21" s="3"/>
      <x:c r="N21" s="3"/>
      <x:c r="O21" s="3"/>
      <x:c r="P21" s="3"/>
      <x:c r="Q21" s="3"/>
      <x:c r="R21" s="3"/>
    </x:row>
    <x:row r="22" ht="34" customHeight="1">
      <x:c r="A22" s="46" t="n">
        <x:v>13</x:v>
      </x:c>
      <x:c r="B22" s="112"/>
      <x:c r="C22" s="113" t="str">
        <x:f>IF(COUNT(B21:B22)=2,ABS(B22-B21),"")</x:f>
      </x:c>
      <x:c r="D22" s="113" t="str">
        <x:f>IF(AND(ISNUMBER(B22),ISNUMBER($L$11)),$L$11,"")</x:f>
      </x:c>
      <x:c r="E22" s="113" t="str">
        <x:f>IF(AND(ISNUMBER(B22),ISNUMBER($L$14)),$L$14,"")</x:f>
      </x:c>
      <x:c r="F22" s="113" t="str">
        <x:f>IF(AND(ISNUMBER(B22),ISNUMBER($L$15)),$L$15,"")</x:f>
      </x:c>
      <x:c r="G22" s="113" t="str">
        <x:f>IF(AND(ISNUMBER(B22),ISNUMBER($L$12)),$L$12,"")</x:f>
      </x:c>
      <x:c r="H22" s="113" t="str">
        <x:f>IF(AND(ISNUMBER(B22),ISNUMBER($L$12),$L$12&gt;0),$L$12*'01 Setup'!$B$14,"")</x:f>
      </x:c>
      <x:c r="I22" s="83" t="str">
        <x:f>IF(NOT(ISNUMBER(B22)),"",IF(NOT(ISNUMBER($L$14)),"Review baseline",IF(OR(B22&lt;E22,B22&gt;F22),"I outside limit",IF(AND(ISNUMBER(C22),ISNUMBER(H22),C22&gt;H22),"MR outside limit","No point beyond limits"))))</x:f>
      </x:c>
      <x:c r="J22" s="3"/>
      <x:c r="K22" s="3"/>
      <x:c r="L22" s="3"/>
      <x:c r="M22" s="3"/>
      <x:c r="N22" s="3"/>
      <x:c r="O22" s="3"/>
      <x:c r="P22" s="3"/>
      <x:c r="Q22" s="3"/>
      <x:c r="R22" s="3"/>
    </x:row>
    <x:row r="23" ht="34" customHeight="1">
      <x:c r="A23" s="46" t="n">
        <x:v>14</x:v>
      </x:c>
      <x:c r="B23" s="112"/>
      <x:c r="C23" s="113" t="str">
        <x:f>IF(COUNT(B22:B23)=2,ABS(B23-B22),"")</x:f>
      </x:c>
      <x:c r="D23" s="113" t="str">
        <x:f>IF(AND(ISNUMBER(B23),ISNUMBER($L$11)),$L$11,"")</x:f>
      </x:c>
      <x:c r="E23" s="113" t="str">
        <x:f>IF(AND(ISNUMBER(B23),ISNUMBER($L$14)),$L$14,"")</x:f>
      </x:c>
      <x:c r="F23" s="113" t="str">
        <x:f>IF(AND(ISNUMBER(B23),ISNUMBER($L$15)),$L$15,"")</x:f>
      </x:c>
      <x:c r="G23" s="113" t="str">
        <x:f>IF(AND(ISNUMBER(B23),ISNUMBER($L$12)),$L$12,"")</x:f>
      </x:c>
      <x:c r="H23" s="113" t="str">
        <x:f>IF(AND(ISNUMBER(B23),ISNUMBER($L$12),$L$12&gt;0),$L$12*'01 Setup'!$B$14,"")</x:f>
      </x:c>
      <x:c r="I23" s="83" t="str">
        <x:f>IF(NOT(ISNUMBER(B23)),"",IF(NOT(ISNUMBER($L$14)),"Review baseline",IF(OR(B23&lt;E23,B23&gt;F23),"I outside limit",IF(AND(ISNUMBER(C23),ISNUMBER(H23),C23&gt;H23),"MR outside limit","No point beyond limits"))))</x:f>
      </x:c>
      <x:c r="J23" s="3"/>
      <x:c r="K23" s="3"/>
      <x:c r="L23" s="3"/>
      <x:c r="M23" s="3"/>
      <x:c r="N23" s="3"/>
      <x:c r="O23" s="3"/>
      <x:c r="P23" s="3"/>
      <x:c r="Q23" s="3"/>
      <x:c r="R23" s="3"/>
    </x:row>
    <x:row r="24" ht="34" customHeight="1">
      <x:c r="A24" s="46" t="n">
        <x:v>15</x:v>
      </x:c>
      <x:c r="B24" s="112"/>
      <x:c r="C24" s="113" t="str">
        <x:f>IF(COUNT(B23:B24)=2,ABS(B24-B23),"")</x:f>
      </x:c>
      <x:c r="D24" s="113" t="str">
        <x:f>IF(AND(ISNUMBER(B24),ISNUMBER($L$11)),$L$11,"")</x:f>
      </x:c>
      <x:c r="E24" s="113" t="str">
        <x:f>IF(AND(ISNUMBER(B24),ISNUMBER($L$14)),$L$14,"")</x:f>
      </x:c>
      <x:c r="F24" s="113" t="str">
        <x:f>IF(AND(ISNUMBER(B24),ISNUMBER($L$15)),$L$15,"")</x:f>
      </x:c>
      <x:c r="G24" s="113" t="str">
        <x:f>IF(AND(ISNUMBER(B24),ISNUMBER($L$12)),$L$12,"")</x:f>
      </x:c>
      <x:c r="H24" s="113" t="str">
        <x:f>IF(AND(ISNUMBER(B24),ISNUMBER($L$12),$L$12&gt;0),$L$12*'01 Setup'!$B$14,"")</x:f>
      </x:c>
      <x:c r="I24" s="83" t="str">
        <x:f>IF(NOT(ISNUMBER(B24)),"",IF(NOT(ISNUMBER($L$14)),"Review baseline",IF(OR(B24&lt;E24,B24&gt;F24),"I outside limit",IF(AND(ISNUMBER(C24),ISNUMBER(H24),C24&gt;H24),"MR outside limit","No point beyond limits"))))</x:f>
      </x:c>
      <x:c r="J24" s="3"/>
      <x:c r="K24" s="3"/>
      <x:c r="L24" s="3"/>
      <x:c r="M24" s="3"/>
      <x:c r="N24" s="3"/>
      <x:c r="O24" s="3"/>
      <x:c r="P24" s="3"/>
      <x:c r="Q24" s="3"/>
      <x:c r="R24" s="3"/>
    </x:row>
    <x:row r="25" ht="34" customHeight="1">
      <x:c r="A25" s="46" t="n">
        <x:v>16</x:v>
      </x:c>
      <x:c r="B25" s="112"/>
      <x:c r="C25" s="113" t="str">
        <x:f>IF(COUNT(B24:B25)=2,ABS(B25-B24),"")</x:f>
      </x:c>
      <x:c r="D25" s="113" t="str">
        <x:f>IF(AND(ISNUMBER(B25),ISNUMBER($L$11)),$L$11,"")</x:f>
      </x:c>
      <x:c r="E25" s="113" t="str">
        <x:f>IF(AND(ISNUMBER(B25),ISNUMBER($L$14)),$L$14,"")</x:f>
      </x:c>
      <x:c r="F25" s="113" t="str">
        <x:f>IF(AND(ISNUMBER(B25),ISNUMBER($L$15)),$L$15,"")</x:f>
      </x:c>
      <x:c r="G25" s="113" t="str">
        <x:f>IF(AND(ISNUMBER(B25),ISNUMBER($L$12)),$L$12,"")</x:f>
      </x:c>
      <x:c r="H25" s="113" t="str">
        <x:f>IF(AND(ISNUMBER(B25),ISNUMBER($L$12),$L$12&gt;0),$L$12*'01 Setup'!$B$14,"")</x:f>
      </x:c>
      <x:c r="I25" s="83" t="str">
        <x:f>IF(NOT(ISNUMBER(B25)),"",IF(NOT(ISNUMBER($L$14)),"Review baseline",IF(OR(B25&lt;E25,B25&gt;F25),"I outside limit",IF(AND(ISNUMBER(C25),ISNUMBER(H25),C25&gt;H25),"MR outside limit","No point beyond limits"))))</x:f>
      </x:c>
      <x:c r="J25" s="3"/>
      <x:c r="K25" s="3"/>
      <x:c r="L25" s="3"/>
      <x:c r="M25" s="3"/>
      <x:c r="N25" s="3"/>
      <x:c r="O25" s="3"/>
      <x:c r="P25" s="3"/>
      <x:c r="Q25" s="3"/>
      <x:c r="R25" s="3"/>
    </x:row>
    <x:row r="26" ht="34" customHeight="1">
      <x:c r="A26" s="46" t="n">
        <x:v>17</x:v>
      </x:c>
      <x:c r="B26" s="112"/>
      <x:c r="C26" s="113" t="str">
        <x:f>IF(COUNT(B25:B26)=2,ABS(B26-B25),"")</x:f>
      </x:c>
      <x:c r="D26" s="113" t="str">
        <x:f>IF(AND(ISNUMBER(B26),ISNUMBER($L$11)),$L$11,"")</x:f>
      </x:c>
      <x:c r="E26" s="113" t="str">
        <x:f>IF(AND(ISNUMBER(B26),ISNUMBER($L$14)),$L$14,"")</x:f>
      </x:c>
      <x:c r="F26" s="113" t="str">
        <x:f>IF(AND(ISNUMBER(B26),ISNUMBER($L$15)),$L$15,"")</x:f>
      </x:c>
      <x:c r="G26" s="113" t="str">
        <x:f>IF(AND(ISNUMBER(B26),ISNUMBER($L$12)),$L$12,"")</x:f>
      </x:c>
      <x:c r="H26" s="113" t="str">
        <x:f>IF(AND(ISNUMBER(B26),ISNUMBER($L$12),$L$12&gt;0),$L$12*'01 Setup'!$B$14,"")</x:f>
      </x:c>
      <x:c r="I26" s="83" t="str">
        <x:f>IF(NOT(ISNUMBER(B26)),"",IF(NOT(ISNUMBER($L$14)),"Review baseline",IF(OR(B26&lt;E26,B26&gt;F26),"I outside limit",IF(AND(ISNUMBER(C26),ISNUMBER(H26),C26&gt;H26),"MR outside limit","No point beyond limits"))))</x:f>
      </x:c>
      <x:c r="J26" s="3"/>
      <x:c r="K26" s="3"/>
      <x:c r="L26" s="3"/>
      <x:c r="M26" s="3"/>
      <x:c r="N26" s="3"/>
      <x:c r="O26" s="3"/>
      <x:c r="P26" s="3"/>
      <x:c r="Q26" s="3"/>
      <x:c r="R26" s="3"/>
    </x:row>
    <x:row r="27" ht="34" customHeight="1">
      <x:c r="A27" s="46" t="n">
        <x:v>18</x:v>
      </x:c>
      <x:c r="B27" s="112"/>
      <x:c r="C27" s="113" t="str">
        <x:f>IF(COUNT(B26:B27)=2,ABS(B27-B26),"")</x:f>
      </x:c>
      <x:c r="D27" s="113" t="str">
        <x:f>IF(AND(ISNUMBER(B27),ISNUMBER($L$11)),$L$11,"")</x:f>
      </x:c>
      <x:c r="E27" s="113" t="str">
        <x:f>IF(AND(ISNUMBER(B27),ISNUMBER($L$14)),$L$14,"")</x:f>
      </x:c>
      <x:c r="F27" s="113" t="str">
        <x:f>IF(AND(ISNUMBER(B27),ISNUMBER($L$15)),$L$15,"")</x:f>
      </x:c>
      <x:c r="G27" s="113" t="str">
        <x:f>IF(AND(ISNUMBER(B27),ISNUMBER($L$12)),$L$12,"")</x:f>
      </x:c>
      <x:c r="H27" s="113" t="str">
        <x:f>IF(AND(ISNUMBER(B27),ISNUMBER($L$12),$L$12&gt;0),$L$12*'01 Setup'!$B$14,"")</x:f>
      </x:c>
      <x:c r="I27" s="83" t="str">
        <x:f>IF(NOT(ISNUMBER(B27)),"",IF(NOT(ISNUMBER($L$14)),"Review baseline",IF(OR(B27&lt;E27,B27&gt;F27),"I outside limit",IF(AND(ISNUMBER(C27),ISNUMBER(H27),C27&gt;H27),"MR outside limit","No point beyond limits"))))</x:f>
      </x:c>
      <x:c r="J27" s="3"/>
      <x:c r="K27" s="3"/>
      <x:c r="L27" s="3"/>
      <x:c r="M27" s="3"/>
      <x:c r="N27" s="3"/>
      <x:c r="O27" s="3"/>
      <x:c r="P27" s="3"/>
      <x:c r="Q27" s="3"/>
      <x:c r="R27" s="3"/>
    </x:row>
    <x:row r="28" ht="34" customHeight="1">
      <x:c r="A28" s="46" t="n">
        <x:v>19</x:v>
      </x:c>
      <x:c r="B28" s="112"/>
      <x:c r="C28" s="113" t="str">
        <x:f>IF(COUNT(B27:B28)=2,ABS(B28-B27),"")</x:f>
      </x:c>
      <x:c r="D28" s="113" t="str">
        <x:f>IF(AND(ISNUMBER(B28),ISNUMBER($L$11)),$L$11,"")</x:f>
      </x:c>
      <x:c r="E28" s="113" t="str">
        <x:f>IF(AND(ISNUMBER(B28),ISNUMBER($L$14)),$L$14,"")</x:f>
      </x:c>
      <x:c r="F28" s="113" t="str">
        <x:f>IF(AND(ISNUMBER(B28),ISNUMBER($L$15)),$L$15,"")</x:f>
      </x:c>
      <x:c r="G28" s="113" t="str">
        <x:f>IF(AND(ISNUMBER(B28),ISNUMBER($L$12)),$L$12,"")</x:f>
      </x:c>
      <x:c r="H28" s="113" t="str">
        <x:f>IF(AND(ISNUMBER(B28),ISNUMBER($L$12),$L$12&gt;0),$L$12*'01 Setup'!$B$14,"")</x:f>
      </x:c>
      <x:c r="I28" s="83" t="str">
        <x:f>IF(NOT(ISNUMBER(B28)),"",IF(NOT(ISNUMBER($L$14)),"Review baseline",IF(OR(B28&lt;E28,B28&gt;F28),"I outside limit",IF(AND(ISNUMBER(C28),ISNUMBER(H28),C28&gt;H28),"MR outside limit","No point beyond limits"))))</x:f>
      </x:c>
      <x:c r="J28" s="3"/>
      <x:c r="K28" s="3"/>
      <x:c r="L28" s="3"/>
      <x:c r="M28" s="3"/>
      <x:c r="N28" s="3"/>
      <x:c r="O28" s="3"/>
      <x:c r="P28" s="3"/>
      <x:c r="Q28" s="3"/>
      <x:c r="R28" s="3"/>
    </x:row>
    <x:row r="29" ht="34" customHeight="1">
      <x:c r="A29" s="46" t="n">
        <x:v>20</x:v>
      </x:c>
      <x:c r="B29" s="112"/>
      <x:c r="C29" s="113" t="str">
        <x:f>IF(COUNT(B28:B29)=2,ABS(B29-B28),"")</x:f>
      </x:c>
      <x:c r="D29" s="113" t="str">
        <x:f>IF(AND(ISNUMBER(B29),ISNUMBER($L$11)),$L$11,"")</x:f>
      </x:c>
      <x:c r="E29" s="113" t="str">
        <x:f>IF(AND(ISNUMBER(B29),ISNUMBER($L$14)),$L$14,"")</x:f>
      </x:c>
      <x:c r="F29" s="113" t="str">
        <x:f>IF(AND(ISNUMBER(B29),ISNUMBER($L$15)),$L$15,"")</x:f>
      </x:c>
      <x:c r="G29" s="113" t="str">
        <x:f>IF(AND(ISNUMBER(B29),ISNUMBER($L$12)),$L$12,"")</x:f>
      </x:c>
      <x:c r="H29" s="113" t="str">
        <x:f>IF(AND(ISNUMBER(B29),ISNUMBER($L$12),$L$12&gt;0),$L$12*'01 Setup'!$B$14,"")</x:f>
      </x:c>
      <x:c r="I29" s="83" t="str">
        <x:f>IF(NOT(ISNUMBER(B29)),"",IF(NOT(ISNUMBER($L$14)),"Review baseline",IF(OR(B29&lt;E29,B29&gt;F29),"I outside limit",IF(AND(ISNUMBER(C29),ISNUMBER(H29),C29&gt;H29),"MR outside limit","No point beyond limits"))))</x:f>
      </x:c>
      <x:c r="J29" s="3"/>
      <x:c r="K29" s="3"/>
      <x:c r="L29" s="3"/>
      <x:c r="M29" s="3"/>
      <x:c r="N29" s="3"/>
      <x:c r="O29" s="3"/>
      <x:c r="P29" s="3"/>
      <x:c r="Q29" s="3"/>
      <x:c r="R29" s="3"/>
    </x:row>
    <x:row r="30" ht="34" customHeight="1">
      <x:c r="A30" s="46" t="n">
        <x:v>21</x:v>
      </x:c>
      <x:c r="B30" s="112"/>
      <x:c r="C30" s="113" t="str">
        <x:f>IF(COUNT(B29:B30)=2,ABS(B30-B29),"")</x:f>
      </x:c>
      <x:c r="D30" s="113" t="str">
        <x:f>IF(AND(ISNUMBER(B30),ISNUMBER($L$11)),$L$11,"")</x:f>
      </x:c>
      <x:c r="E30" s="113" t="str">
        <x:f>IF(AND(ISNUMBER(B30),ISNUMBER($L$14)),$L$14,"")</x:f>
      </x:c>
      <x:c r="F30" s="113" t="str">
        <x:f>IF(AND(ISNUMBER(B30),ISNUMBER($L$15)),$L$15,"")</x:f>
      </x:c>
      <x:c r="G30" s="113" t="str">
        <x:f>IF(AND(ISNUMBER(B30),ISNUMBER($L$12)),$L$12,"")</x:f>
      </x:c>
      <x:c r="H30" s="113" t="str">
        <x:f>IF(AND(ISNUMBER(B30),ISNUMBER($L$12),$L$12&gt;0),$L$12*'01 Setup'!$B$14,"")</x:f>
      </x:c>
      <x:c r="I30" s="83" t="str">
        <x:f>IF(NOT(ISNUMBER(B30)),"",IF(NOT(ISNUMBER($L$14)),"Review baseline",IF(OR(B30&lt;E30,B30&gt;F30),"I outside limit",IF(AND(ISNUMBER(C30),ISNUMBER(H30),C30&gt;H30),"MR outside limit","No point beyond limits"))))</x:f>
      </x:c>
      <x:c r="J30" s="3"/>
      <x:c r="K30" s="3"/>
      <x:c r="L30" s="3"/>
      <x:c r="M30" s="3"/>
      <x:c r="N30" s="3"/>
      <x:c r="O30" s="3"/>
      <x:c r="P30" s="3"/>
      <x:c r="Q30" s="3"/>
      <x:c r="R30" s="3"/>
    </x:row>
    <x:row r="31" ht="34" customHeight="1">
      <x:c r="A31" s="46" t="n">
        <x:v>22</x:v>
      </x:c>
      <x:c r="B31" s="112"/>
      <x:c r="C31" s="113" t="str">
        <x:f>IF(COUNT(B30:B31)=2,ABS(B31-B30),"")</x:f>
      </x:c>
      <x:c r="D31" s="113" t="str">
        <x:f>IF(AND(ISNUMBER(B31),ISNUMBER($L$11)),$L$11,"")</x:f>
      </x:c>
      <x:c r="E31" s="113" t="str">
        <x:f>IF(AND(ISNUMBER(B31),ISNUMBER($L$14)),$L$14,"")</x:f>
      </x:c>
      <x:c r="F31" s="113" t="str">
        <x:f>IF(AND(ISNUMBER(B31),ISNUMBER($L$15)),$L$15,"")</x:f>
      </x:c>
      <x:c r="G31" s="113" t="str">
        <x:f>IF(AND(ISNUMBER(B31),ISNUMBER($L$12)),$L$12,"")</x:f>
      </x:c>
      <x:c r="H31" s="113" t="str">
        <x:f>IF(AND(ISNUMBER(B31),ISNUMBER($L$12),$L$12&gt;0),$L$12*'01 Setup'!$B$14,"")</x:f>
      </x:c>
      <x:c r="I31" s="83" t="str">
        <x:f>IF(NOT(ISNUMBER(B31)),"",IF(NOT(ISNUMBER($L$14)),"Review baseline",IF(OR(B31&lt;E31,B31&gt;F31),"I outside limit",IF(AND(ISNUMBER(C31),ISNUMBER(H31),C31&gt;H31),"MR outside limit","No point beyond limits"))))</x:f>
      </x:c>
      <x:c r="J31" s="3"/>
      <x:c r="K31" s="3"/>
      <x:c r="L31" s="3"/>
      <x:c r="M31" s="3"/>
      <x:c r="N31" s="3"/>
      <x:c r="O31" s="3"/>
      <x:c r="P31" s="3"/>
      <x:c r="Q31" s="3"/>
      <x:c r="R31" s="3"/>
    </x:row>
    <x:row r="32" ht="34" customHeight="1">
      <x:c r="A32" s="46" t="n">
        <x:v>23</x:v>
      </x:c>
      <x:c r="B32" s="112"/>
      <x:c r="C32" s="113" t="str">
        <x:f>IF(COUNT(B31:B32)=2,ABS(B32-B31),"")</x:f>
      </x:c>
      <x:c r="D32" s="113" t="str">
        <x:f>IF(AND(ISNUMBER(B32),ISNUMBER($L$11)),$L$11,"")</x:f>
      </x:c>
      <x:c r="E32" s="113" t="str">
        <x:f>IF(AND(ISNUMBER(B32),ISNUMBER($L$14)),$L$14,"")</x:f>
      </x:c>
      <x:c r="F32" s="113" t="str">
        <x:f>IF(AND(ISNUMBER(B32),ISNUMBER($L$15)),$L$15,"")</x:f>
      </x:c>
      <x:c r="G32" s="113" t="str">
        <x:f>IF(AND(ISNUMBER(B32),ISNUMBER($L$12)),$L$12,"")</x:f>
      </x:c>
      <x:c r="H32" s="113" t="str">
        <x:f>IF(AND(ISNUMBER(B32),ISNUMBER($L$12),$L$12&gt;0),$L$12*'01 Setup'!$B$14,"")</x:f>
      </x:c>
      <x:c r="I32" s="83" t="str">
        <x:f>IF(NOT(ISNUMBER(B32)),"",IF(NOT(ISNUMBER($L$14)),"Review baseline",IF(OR(B32&lt;E32,B32&gt;F32),"I outside limit",IF(AND(ISNUMBER(C32),ISNUMBER(H32),C32&gt;H32),"MR outside limit","No point beyond limits"))))</x:f>
      </x:c>
      <x:c r="J32" s="3"/>
      <x:c r="K32" s="3"/>
      <x:c r="L32" s="3"/>
      <x:c r="M32" s="3"/>
      <x:c r="N32" s="3"/>
      <x:c r="O32" s="3"/>
      <x:c r="P32" s="3"/>
      <x:c r="Q32" s="3"/>
      <x:c r="R32" s="3"/>
    </x:row>
    <x:row r="33" ht="34" customHeight="1">
      <x:c r="A33" s="46" t="n">
        <x:v>24</x:v>
      </x:c>
      <x:c r="B33" s="112"/>
      <x:c r="C33" s="113" t="str">
        <x:f>IF(COUNT(B32:B33)=2,ABS(B33-B32),"")</x:f>
      </x:c>
      <x:c r="D33" s="113" t="str">
        <x:f>IF(AND(ISNUMBER(B33),ISNUMBER($L$11)),$L$11,"")</x:f>
      </x:c>
      <x:c r="E33" s="113" t="str">
        <x:f>IF(AND(ISNUMBER(B33),ISNUMBER($L$14)),$L$14,"")</x:f>
      </x:c>
      <x:c r="F33" s="113" t="str">
        <x:f>IF(AND(ISNUMBER(B33),ISNUMBER($L$15)),$L$15,"")</x:f>
      </x:c>
      <x:c r="G33" s="113" t="str">
        <x:f>IF(AND(ISNUMBER(B33),ISNUMBER($L$12)),$L$12,"")</x:f>
      </x:c>
      <x:c r="H33" s="113" t="str">
        <x:f>IF(AND(ISNUMBER(B33),ISNUMBER($L$12),$L$12&gt;0),$L$12*'01 Setup'!$B$14,"")</x:f>
      </x:c>
      <x:c r="I33" s="83" t="str">
        <x:f>IF(NOT(ISNUMBER(B33)),"",IF(NOT(ISNUMBER($L$14)),"Review baseline",IF(OR(B33&lt;E33,B33&gt;F33),"I outside limit",IF(AND(ISNUMBER(C33),ISNUMBER(H33),C33&gt;H33),"MR outside limit","No point beyond limits"))))</x:f>
      </x:c>
      <x:c r="J33" s="3"/>
      <x:c r="K33" s="3"/>
      <x:c r="L33" s="3"/>
      <x:c r="M33" s="3"/>
      <x:c r="N33" s="3"/>
      <x:c r="O33" s="3"/>
      <x:c r="P33" s="3"/>
      <x:c r="Q33" s="3"/>
      <x:c r="R33" s="3"/>
    </x:row>
    <x:row r="34" ht="34" customHeight="1">
      <x:c r="A34" s="46" t="n">
        <x:v>25</x:v>
      </x:c>
      <x:c r="B34" s="112"/>
      <x:c r="C34" s="113" t="str">
        <x:f>IF(COUNT(B33:B34)=2,ABS(B34-B33),"")</x:f>
      </x:c>
      <x:c r="D34" s="113" t="str">
        <x:f>IF(AND(ISNUMBER(B34),ISNUMBER($L$11)),$L$11,"")</x:f>
      </x:c>
      <x:c r="E34" s="113" t="str">
        <x:f>IF(AND(ISNUMBER(B34),ISNUMBER($L$14)),$L$14,"")</x:f>
      </x:c>
      <x:c r="F34" s="113" t="str">
        <x:f>IF(AND(ISNUMBER(B34),ISNUMBER($L$15)),$L$15,"")</x:f>
      </x:c>
      <x:c r="G34" s="113" t="str">
        <x:f>IF(AND(ISNUMBER(B34),ISNUMBER($L$12)),$L$12,"")</x:f>
      </x:c>
      <x:c r="H34" s="113" t="str">
        <x:f>IF(AND(ISNUMBER(B34),ISNUMBER($L$12),$L$12&gt;0),$L$12*'01 Setup'!$B$14,"")</x:f>
      </x:c>
      <x:c r="I34" s="83" t="str">
        <x:f>IF(NOT(ISNUMBER(B34)),"",IF(NOT(ISNUMBER($L$14)),"Review baseline",IF(OR(B34&lt;E34,B34&gt;F34),"I outside limit",IF(AND(ISNUMBER(C34),ISNUMBER(H34),C34&gt;H34),"MR outside limit","No point beyond limits"))))</x:f>
      </x:c>
      <x:c r="J34" s="3"/>
      <x:c r="K34" s="3"/>
      <x:c r="L34" s="3"/>
      <x:c r="M34" s="3"/>
      <x:c r="N34" s="3"/>
      <x:c r="O34" s="3"/>
      <x:c r="P34" s="3"/>
      <x:c r="Q34" s="3"/>
      <x:c r="R34" s="3"/>
    </x:row>
    <x:row r="35" ht="34" customHeight="1">
      <x:c r="A35" s="46" t="n">
        <x:v>26</x:v>
      </x:c>
      <x:c r="B35" s="112"/>
      <x:c r="C35" s="113" t="str">
        <x:f>IF(COUNT(B34:B35)=2,ABS(B35-B34),"")</x:f>
      </x:c>
      <x:c r="D35" s="113" t="str">
        <x:f>IF(AND(ISNUMBER(B35),ISNUMBER($L$11)),$L$11,"")</x:f>
      </x:c>
      <x:c r="E35" s="113" t="str">
        <x:f>IF(AND(ISNUMBER(B35),ISNUMBER($L$14)),$L$14,"")</x:f>
      </x:c>
      <x:c r="F35" s="113" t="str">
        <x:f>IF(AND(ISNUMBER(B35),ISNUMBER($L$15)),$L$15,"")</x:f>
      </x:c>
      <x:c r="G35" s="113" t="str">
        <x:f>IF(AND(ISNUMBER(B35),ISNUMBER($L$12)),$L$12,"")</x:f>
      </x:c>
      <x:c r="H35" s="113" t="str">
        <x:f>IF(AND(ISNUMBER(B35),ISNUMBER($L$12),$L$12&gt;0),$L$12*'01 Setup'!$B$14,"")</x:f>
      </x:c>
      <x:c r="I35" s="83" t="str">
        <x:f>IF(NOT(ISNUMBER(B35)),"",IF(NOT(ISNUMBER($L$14)),"Review baseline",IF(OR(B35&lt;E35,B35&gt;F35),"I outside limit",IF(AND(ISNUMBER(C35),ISNUMBER(H35),C35&gt;H35),"MR outside limit","No point beyond limits"))))</x:f>
      </x:c>
      <x:c r="J35" s="3"/>
      <x:c r="K35" s="3"/>
      <x:c r="L35" s="3"/>
      <x:c r="M35" s="3"/>
      <x:c r="N35" s="3"/>
      <x:c r="O35" s="3"/>
      <x:c r="P35" s="3"/>
      <x:c r="Q35" s="3"/>
      <x:c r="R35" s="3"/>
    </x:row>
    <x:row r="36" ht="34" customHeight="1">
      <x:c r="A36" s="46" t="n">
        <x:v>27</x:v>
      </x:c>
      <x:c r="B36" s="112"/>
      <x:c r="C36" s="113" t="str">
        <x:f>IF(COUNT(B35:B36)=2,ABS(B36-B35),"")</x:f>
      </x:c>
      <x:c r="D36" s="113" t="str">
        <x:f>IF(AND(ISNUMBER(B36),ISNUMBER($L$11)),$L$11,"")</x:f>
      </x:c>
      <x:c r="E36" s="113" t="str">
        <x:f>IF(AND(ISNUMBER(B36),ISNUMBER($L$14)),$L$14,"")</x:f>
      </x:c>
      <x:c r="F36" s="113" t="str">
        <x:f>IF(AND(ISNUMBER(B36),ISNUMBER($L$15)),$L$15,"")</x:f>
      </x:c>
      <x:c r="G36" s="113" t="str">
        <x:f>IF(AND(ISNUMBER(B36),ISNUMBER($L$12)),$L$12,"")</x:f>
      </x:c>
      <x:c r="H36" s="113" t="str">
        <x:f>IF(AND(ISNUMBER(B36),ISNUMBER($L$12),$L$12&gt;0),$L$12*'01 Setup'!$B$14,"")</x:f>
      </x:c>
      <x:c r="I36" s="83" t="str">
        <x:f>IF(NOT(ISNUMBER(B36)),"",IF(NOT(ISNUMBER($L$14)),"Review baseline",IF(OR(B36&lt;E36,B36&gt;F36),"I outside limit",IF(AND(ISNUMBER(C36),ISNUMBER(H36),C36&gt;H36),"MR outside limit","No point beyond limits"))))</x:f>
      </x:c>
      <x:c r="J36" s="3"/>
      <x:c r="K36" s="3"/>
      <x:c r="L36" s="3"/>
      <x:c r="M36" s="3"/>
      <x:c r="N36" s="3"/>
      <x:c r="O36" s="3"/>
      <x:c r="P36" s="3"/>
      <x:c r="Q36" s="3"/>
      <x:c r="R36" s="3"/>
    </x:row>
    <x:row r="37" ht="34" customHeight="1">
      <x:c r="A37" s="46" t="n">
        <x:v>28</x:v>
      </x:c>
      <x:c r="B37" s="112"/>
      <x:c r="C37" s="113" t="str">
        <x:f>IF(COUNT(B36:B37)=2,ABS(B37-B36),"")</x:f>
      </x:c>
      <x:c r="D37" s="113" t="str">
        <x:f>IF(AND(ISNUMBER(B37),ISNUMBER($L$11)),$L$11,"")</x:f>
      </x:c>
      <x:c r="E37" s="113" t="str">
        <x:f>IF(AND(ISNUMBER(B37),ISNUMBER($L$14)),$L$14,"")</x:f>
      </x:c>
      <x:c r="F37" s="113" t="str">
        <x:f>IF(AND(ISNUMBER(B37),ISNUMBER($L$15)),$L$15,"")</x:f>
      </x:c>
      <x:c r="G37" s="113" t="str">
        <x:f>IF(AND(ISNUMBER(B37),ISNUMBER($L$12)),$L$12,"")</x:f>
      </x:c>
      <x:c r="H37" s="113" t="str">
        <x:f>IF(AND(ISNUMBER(B37),ISNUMBER($L$12),$L$12&gt;0),$L$12*'01 Setup'!$B$14,"")</x:f>
      </x:c>
      <x:c r="I37" s="83" t="str">
        <x:f>IF(NOT(ISNUMBER(B37)),"",IF(NOT(ISNUMBER($L$14)),"Review baseline",IF(OR(B37&lt;E37,B37&gt;F37),"I outside limit",IF(AND(ISNUMBER(C37),ISNUMBER(H37),C37&gt;H37),"MR outside limit","No point beyond limits"))))</x:f>
      </x:c>
      <x:c r="J37" s="3"/>
      <x:c r="K37" s="3"/>
      <x:c r="L37" s="3"/>
      <x:c r="M37" s="3"/>
      <x:c r="N37" s="3"/>
      <x:c r="O37" s="3"/>
      <x:c r="P37" s="3"/>
      <x:c r="Q37" s="3"/>
      <x:c r="R37" s="3"/>
    </x:row>
    <x:row r="38" ht="34" customHeight="1">
      <x:c r="A38" s="46" t="n">
        <x:v>29</x:v>
      </x:c>
      <x:c r="B38" s="112"/>
      <x:c r="C38" s="113" t="str">
        <x:f>IF(COUNT(B37:B38)=2,ABS(B38-B37),"")</x:f>
      </x:c>
      <x:c r="D38" s="113" t="str">
        <x:f>IF(AND(ISNUMBER(B38),ISNUMBER($L$11)),$L$11,"")</x:f>
      </x:c>
      <x:c r="E38" s="113" t="str">
        <x:f>IF(AND(ISNUMBER(B38),ISNUMBER($L$14)),$L$14,"")</x:f>
      </x:c>
      <x:c r="F38" s="113" t="str">
        <x:f>IF(AND(ISNUMBER(B38),ISNUMBER($L$15)),$L$15,"")</x:f>
      </x:c>
      <x:c r="G38" s="113" t="str">
        <x:f>IF(AND(ISNUMBER(B38),ISNUMBER($L$12)),$L$12,"")</x:f>
      </x:c>
      <x:c r="H38" s="113" t="str">
        <x:f>IF(AND(ISNUMBER(B38),ISNUMBER($L$12),$L$12&gt;0),$L$12*'01 Setup'!$B$14,"")</x:f>
      </x:c>
      <x:c r="I38" s="83" t="str">
        <x:f>IF(NOT(ISNUMBER(B38)),"",IF(NOT(ISNUMBER($L$14)),"Review baseline",IF(OR(B38&lt;E38,B38&gt;F38),"I outside limit",IF(AND(ISNUMBER(C38),ISNUMBER(H38),C38&gt;H38),"MR outside limit","No point beyond limits"))))</x:f>
      </x:c>
      <x:c r="J38" s="3"/>
      <x:c r="K38" s="3"/>
      <x:c r="L38" s="3"/>
      <x:c r="M38" s="3"/>
      <x:c r="N38" s="3"/>
      <x:c r="O38" s="3"/>
      <x:c r="P38" s="3"/>
      <x:c r="Q38" s="3"/>
      <x:c r="R38" s="3"/>
    </x:row>
    <x:row r="39" ht="34" customHeight="1">
      <x:c r="A39" s="46" t="n">
        <x:v>30</x:v>
      </x:c>
      <x:c r="B39" s="112"/>
      <x:c r="C39" s="113" t="str">
        <x:f>IF(COUNT(B38:B39)=2,ABS(B39-B38),"")</x:f>
      </x:c>
      <x:c r="D39" s="113" t="str">
        <x:f>IF(AND(ISNUMBER(B39),ISNUMBER($L$11)),$L$11,"")</x:f>
      </x:c>
      <x:c r="E39" s="113" t="str">
        <x:f>IF(AND(ISNUMBER(B39),ISNUMBER($L$14)),$L$14,"")</x:f>
      </x:c>
      <x:c r="F39" s="113" t="str">
        <x:f>IF(AND(ISNUMBER(B39),ISNUMBER($L$15)),$L$15,"")</x:f>
      </x:c>
      <x:c r="G39" s="113" t="str">
        <x:f>IF(AND(ISNUMBER(B39),ISNUMBER($L$12)),$L$12,"")</x:f>
      </x:c>
      <x:c r="H39" s="113" t="str">
        <x:f>IF(AND(ISNUMBER(B39),ISNUMBER($L$12),$L$12&gt;0),$L$12*'01 Setup'!$B$14,"")</x:f>
      </x:c>
      <x:c r="I39" s="83" t="str">
        <x:f>IF(NOT(ISNUMBER(B39)),"",IF(NOT(ISNUMBER($L$14)),"Review baseline",IF(OR(B39&lt;E39,B39&gt;F39),"I outside limit",IF(AND(ISNUMBER(C39),ISNUMBER(H39),C39&gt;H39),"MR outside limit","No point beyond limits"))))</x:f>
      </x:c>
      <x:c r="J39" s="3"/>
      <x:c r="K39" s="3"/>
      <x:c r="L39" s="3"/>
      <x:c r="M39" s="3"/>
      <x:c r="N39" s="3"/>
      <x:c r="O39" s="3"/>
      <x:c r="P39" s="3"/>
      <x:c r="Q39" s="3"/>
      <x:c r="R39" s="3"/>
    </x:row>
    <x:row r="40" ht="34" customHeight="1">
      <x:c r="A40" s="46" t="n">
        <x:v>31</x:v>
      </x:c>
      <x:c r="B40" s="112"/>
      <x:c r="C40" s="113" t="str">
        <x:f>IF(COUNT(B39:B40)=2,ABS(B40-B39),"")</x:f>
      </x:c>
      <x:c r="D40" s="113" t="str">
        <x:f>IF(AND(ISNUMBER(B40),ISNUMBER($L$11)),$L$11,"")</x:f>
      </x:c>
      <x:c r="E40" s="113" t="str">
        <x:f>IF(AND(ISNUMBER(B40),ISNUMBER($L$14)),$L$14,"")</x:f>
      </x:c>
      <x:c r="F40" s="113" t="str">
        <x:f>IF(AND(ISNUMBER(B40),ISNUMBER($L$15)),$L$15,"")</x:f>
      </x:c>
      <x:c r="G40" s="113" t="str">
        <x:f>IF(AND(ISNUMBER(B40),ISNUMBER($L$12)),$L$12,"")</x:f>
      </x:c>
      <x:c r="H40" s="113" t="str">
        <x:f>IF(AND(ISNUMBER(B40),ISNUMBER($L$12),$L$12&gt;0),$L$12*'01 Setup'!$B$14,"")</x:f>
      </x:c>
      <x:c r="I40" s="83" t="str">
        <x:f>IF(NOT(ISNUMBER(B40)),"",IF(NOT(ISNUMBER($L$14)),"Review baseline",IF(OR(B40&lt;E40,B40&gt;F40),"I outside limit",IF(AND(ISNUMBER(C40),ISNUMBER(H40),C40&gt;H40),"MR outside limit","No point beyond limits"))))</x:f>
      </x:c>
      <x:c r="J40" s="3"/>
      <x:c r="K40" s="3"/>
      <x:c r="L40" s="3"/>
      <x:c r="M40" s="3"/>
      <x:c r="N40" s="3"/>
      <x:c r="O40" s="3"/>
      <x:c r="P40" s="3"/>
      <x:c r="Q40" s="3"/>
      <x:c r="R40" s="3"/>
    </x:row>
    <x:row r="41" ht="34" customHeight="1">
      <x:c r="A41" s="46" t="n">
        <x:v>32</x:v>
      </x:c>
      <x:c r="B41" s="112"/>
      <x:c r="C41" s="113" t="str">
        <x:f>IF(COUNT(B40:B41)=2,ABS(B41-B40),"")</x:f>
      </x:c>
      <x:c r="D41" s="113" t="str">
        <x:f>IF(AND(ISNUMBER(B41),ISNUMBER($L$11)),$L$11,"")</x:f>
      </x:c>
      <x:c r="E41" s="113" t="str">
        <x:f>IF(AND(ISNUMBER(B41),ISNUMBER($L$14)),$L$14,"")</x:f>
      </x:c>
      <x:c r="F41" s="113" t="str">
        <x:f>IF(AND(ISNUMBER(B41),ISNUMBER($L$15)),$L$15,"")</x:f>
      </x:c>
      <x:c r="G41" s="113" t="str">
        <x:f>IF(AND(ISNUMBER(B41),ISNUMBER($L$12)),$L$12,"")</x:f>
      </x:c>
      <x:c r="H41" s="113" t="str">
        <x:f>IF(AND(ISNUMBER(B41),ISNUMBER($L$12),$L$12&gt;0),$L$12*'01 Setup'!$B$14,"")</x:f>
      </x:c>
      <x:c r="I41" s="83" t="str">
        <x:f>IF(NOT(ISNUMBER(B41)),"",IF(NOT(ISNUMBER($L$14)),"Review baseline",IF(OR(B41&lt;E41,B41&gt;F41),"I outside limit",IF(AND(ISNUMBER(C41),ISNUMBER(H41),C41&gt;H41),"MR outside limit","No point beyond limits"))))</x:f>
      </x:c>
      <x:c r="J41" s="3"/>
      <x:c r="K41" s="3"/>
      <x:c r="L41" s="3"/>
      <x:c r="M41" s="3"/>
      <x:c r="N41" s="3"/>
      <x:c r="O41" s="3"/>
      <x:c r="P41" s="3"/>
      <x:c r="Q41" s="3"/>
      <x:c r="R41" s="3"/>
    </x:row>
    <x:row r="42" ht="34" customHeight="1">
      <x:c r="A42" s="46" t="n">
        <x:v>33</x:v>
      </x:c>
      <x:c r="B42" s="112"/>
      <x:c r="C42" s="113" t="str">
        <x:f>IF(COUNT(B41:B42)=2,ABS(B42-B41),"")</x:f>
      </x:c>
      <x:c r="D42" s="113" t="str">
        <x:f>IF(AND(ISNUMBER(B42),ISNUMBER($L$11)),$L$11,"")</x:f>
      </x:c>
      <x:c r="E42" s="113" t="str">
        <x:f>IF(AND(ISNUMBER(B42),ISNUMBER($L$14)),$L$14,"")</x:f>
      </x:c>
      <x:c r="F42" s="113" t="str">
        <x:f>IF(AND(ISNUMBER(B42),ISNUMBER($L$15)),$L$15,"")</x:f>
      </x:c>
      <x:c r="G42" s="113" t="str">
        <x:f>IF(AND(ISNUMBER(B42),ISNUMBER($L$12)),$L$12,"")</x:f>
      </x:c>
      <x:c r="H42" s="113" t="str">
        <x:f>IF(AND(ISNUMBER(B42),ISNUMBER($L$12),$L$12&gt;0),$L$12*'01 Setup'!$B$14,"")</x:f>
      </x:c>
      <x:c r="I42" s="83" t="str">
        <x:f>IF(NOT(ISNUMBER(B42)),"",IF(NOT(ISNUMBER($L$14)),"Review baseline",IF(OR(B42&lt;E42,B42&gt;F42),"I outside limit",IF(AND(ISNUMBER(C42),ISNUMBER(H42),C42&gt;H42),"MR outside limit","No point beyond limits"))))</x:f>
      </x:c>
      <x:c r="J42" s="3"/>
      <x:c r="K42" s="3"/>
      <x:c r="L42" s="3"/>
      <x:c r="M42" s="3"/>
      <x:c r="N42" s="3"/>
      <x:c r="O42" s="3"/>
      <x:c r="P42" s="3"/>
      <x:c r="Q42" s="3"/>
      <x:c r="R42" s="3"/>
    </x:row>
    <x:row r="43" ht="34" customHeight="1">
      <x:c r="A43" s="46" t="n">
        <x:v>34</x:v>
      </x:c>
      <x:c r="B43" s="112"/>
      <x:c r="C43" s="113" t="str">
        <x:f>IF(COUNT(B42:B43)=2,ABS(B43-B42),"")</x:f>
      </x:c>
      <x:c r="D43" s="113" t="str">
        <x:f>IF(AND(ISNUMBER(B43),ISNUMBER($L$11)),$L$11,"")</x:f>
      </x:c>
      <x:c r="E43" s="113" t="str">
        <x:f>IF(AND(ISNUMBER(B43),ISNUMBER($L$14)),$L$14,"")</x:f>
      </x:c>
      <x:c r="F43" s="113" t="str">
        <x:f>IF(AND(ISNUMBER(B43),ISNUMBER($L$15)),$L$15,"")</x:f>
      </x:c>
      <x:c r="G43" s="113" t="str">
        <x:f>IF(AND(ISNUMBER(B43),ISNUMBER($L$12)),$L$12,"")</x:f>
      </x:c>
      <x:c r="H43" s="113" t="str">
        <x:f>IF(AND(ISNUMBER(B43),ISNUMBER($L$12),$L$12&gt;0),$L$12*'01 Setup'!$B$14,"")</x:f>
      </x:c>
      <x:c r="I43" s="83" t="str">
        <x:f>IF(NOT(ISNUMBER(B43)),"",IF(NOT(ISNUMBER($L$14)),"Review baseline",IF(OR(B43&lt;E43,B43&gt;F43),"I outside limit",IF(AND(ISNUMBER(C43),ISNUMBER(H43),C43&gt;H43),"MR outside limit","No point beyond limits"))))</x:f>
      </x:c>
      <x:c r="J43" s="3"/>
      <x:c r="K43" s="3"/>
      <x:c r="L43" s="3"/>
      <x:c r="M43" s="3"/>
      <x:c r="N43" s="3"/>
      <x:c r="O43" s="3"/>
      <x:c r="P43" s="3"/>
      <x:c r="Q43" s="3"/>
      <x:c r="R43" s="3"/>
    </x:row>
    <x:row r="44" ht="34" customHeight="1">
      <x:c r="A44" s="46" t="n">
        <x:v>35</x:v>
      </x:c>
      <x:c r="B44" s="112"/>
      <x:c r="C44" s="113" t="str">
        <x:f>IF(COUNT(B43:B44)=2,ABS(B44-B43),"")</x:f>
      </x:c>
      <x:c r="D44" s="113" t="str">
        <x:f>IF(AND(ISNUMBER(B44),ISNUMBER($L$11)),$L$11,"")</x:f>
      </x:c>
      <x:c r="E44" s="113" t="str">
        <x:f>IF(AND(ISNUMBER(B44),ISNUMBER($L$14)),$L$14,"")</x:f>
      </x:c>
      <x:c r="F44" s="113" t="str">
        <x:f>IF(AND(ISNUMBER(B44),ISNUMBER($L$15)),$L$15,"")</x:f>
      </x:c>
      <x:c r="G44" s="113" t="str">
        <x:f>IF(AND(ISNUMBER(B44),ISNUMBER($L$12)),$L$12,"")</x:f>
      </x:c>
      <x:c r="H44" s="113" t="str">
        <x:f>IF(AND(ISNUMBER(B44),ISNUMBER($L$12),$L$12&gt;0),$L$12*'01 Setup'!$B$14,"")</x:f>
      </x:c>
      <x:c r="I44" s="83" t="str">
        <x:f>IF(NOT(ISNUMBER(B44)),"",IF(NOT(ISNUMBER($L$14)),"Review baseline",IF(OR(B44&lt;E44,B44&gt;F44),"I outside limit",IF(AND(ISNUMBER(C44),ISNUMBER(H44),C44&gt;H44),"MR outside limit","No point beyond limits"))))</x:f>
      </x:c>
      <x:c r="J44" s="3"/>
      <x:c r="K44" s="3"/>
      <x:c r="L44" s="3"/>
      <x:c r="M44" s="3"/>
      <x:c r="N44" s="3"/>
      <x:c r="O44" s="3"/>
      <x:c r="P44" s="3"/>
      <x:c r="Q44" s="3"/>
      <x:c r="R44" s="3"/>
    </x:row>
    <x:row r="45" ht="34" customHeight="1">
      <x:c r="A45" s="46" t="n">
        <x:v>36</x:v>
      </x:c>
      <x:c r="B45" s="112"/>
      <x:c r="C45" s="113" t="str">
        <x:f>IF(COUNT(B44:B45)=2,ABS(B45-B44),"")</x:f>
      </x:c>
      <x:c r="D45" s="113" t="str">
        <x:f>IF(AND(ISNUMBER(B45),ISNUMBER($L$11)),$L$11,"")</x:f>
      </x:c>
      <x:c r="E45" s="113" t="str">
        <x:f>IF(AND(ISNUMBER(B45),ISNUMBER($L$14)),$L$14,"")</x:f>
      </x:c>
      <x:c r="F45" s="113" t="str">
        <x:f>IF(AND(ISNUMBER(B45),ISNUMBER($L$15)),$L$15,"")</x:f>
      </x:c>
      <x:c r="G45" s="113" t="str">
        <x:f>IF(AND(ISNUMBER(B45),ISNUMBER($L$12)),$L$12,"")</x:f>
      </x:c>
      <x:c r="H45" s="113" t="str">
        <x:f>IF(AND(ISNUMBER(B45),ISNUMBER($L$12),$L$12&gt;0),$L$12*'01 Setup'!$B$14,"")</x:f>
      </x:c>
      <x:c r="I45" s="83" t="str">
        <x:f>IF(NOT(ISNUMBER(B45)),"",IF(NOT(ISNUMBER($L$14)),"Review baseline",IF(OR(B45&lt;E45,B45&gt;F45),"I outside limit",IF(AND(ISNUMBER(C45),ISNUMBER(H45),C45&gt;H45),"MR outside limit","No point beyond limits"))))</x:f>
      </x:c>
      <x:c r="J45" s="3"/>
      <x:c r="K45" s="3"/>
      <x:c r="L45" s="3"/>
      <x:c r="M45" s="3"/>
      <x:c r="N45" s="3"/>
      <x:c r="O45" s="3"/>
      <x:c r="P45" s="3"/>
      <x:c r="Q45" s="3"/>
      <x:c r="R45" s="3"/>
    </x:row>
    <x:row r="46" ht="34" customHeight="1">
      <x:c r="A46" s="46" t="n">
        <x:v>37</x:v>
      </x:c>
      <x:c r="B46" s="112"/>
      <x:c r="C46" s="113" t="str">
        <x:f>IF(COUNT(B45:B46)=2,ABS(B46-B45),"")</x:f>
      </x:c>
      <x:c r="D46" s="113" t="str">
        <x:f>IF(AND(ISNUMBER(B46),ISNUMBER($L$11)),$L$11,"")</x:f>
      </x:c>
      <x:c r="E46" s="113" t="str">
        <x:f>IF(AND(ISNUMBER(B46),ISNUMBER($L$14)),$L$14,"")</x:f>
      </x:c>
      <x:c r="F46" s="113" t="str">
        <x:f>IF(AND(ISNUMBER(B46),ISNUMBER($L$15)),$L$15,"")</x:f>
      </x:c>
      <x:c r="G46" s="113" t="str">
        <x:f>IF(AND(ISNUMBER(B46),ISNUMBER($L$12)),$L$12,"")</x:f>
      </x:c>
      <x:c r="H46" s="113" t="str">
        <x:f>IF(AND(ISNUMBER(B46),ISNUMBER($L$12),$L$12&gt;0),$L$12*'01 Setup'!$B$14,"")</x:f>
      </x:c>
      <x:c r="I46" s="83" t="str">
        <x:f>IF(NOT(ISNUMBER(B46)),"",IF(NOT(ISNUMBER($L$14)),"Review baseline",IF(OR(B46&lt;E46,B46&gt;F46),"I outside limit",IF(AND(ISNUMBER(C46),ISNUMBER(H46),C46&gt;H46),"MR outside limit","No point beyond limits"))))</x:f>
      </x:c>
      <x:c r="J46" s="3"/>
      <x:c r="K46" s="3"/>
      <x:c r="L46" s="3"/>
      <x:c r="M46" s="3"/>
      <x:c r="N46" s="3"/>
      <x:c r="O46" s="3"/>
      <x:c r="P46" s="3"/>
      <x:c r="Q46" s="3"/>
      <x:c r="R46" s="3"/>
    </x:row>
    <x:row r="47" ht="34" customHeight="1">
      <x:c r="A47" s="46" t="n">
        <x:v>38</x:v>
      </x:c>
      <x:c r="B47" s="112"/>
      <x:c r="C47" s="113" t="str">
        <x:f>IF(COUNT(B46:B47)=2,ABS(B47-B46),"")</x:f>
      </x:c>
      <x:c r="D47" s="113" t="str">
        <x:f>IF(AND(ISNUMBER(B47),ISNUMBER($L$11)),$L$11,"")</x:f>
      </x:c>
      <x:c r="E47" s="113" t="str">
        <x:f>IF(AND(ISNUMBER(B47),ISNUMBER($L$14)),$L$14,"")</x:f>
      </x:c>
      <x:c r="F47" s="113" t="str">
        <x:f>IF(AND(ISNUMBER(B47),ISNUMBER($L$15)),$L$15,"")</x:f>
      </x:c>
      <x:c r="G47" s="113" t="str">
        <x:f>IF(AND(ISNUMBER(B47),ISNUMBER($L$12)),$L$12,"")</x:f>
      </x:c>
      <x:c r="H47" s="113" t="str">
        <x:f>IF(AND(ISNUMBER(B47),ISNUMBER($L$12),$L$12&gt;0),$L$12*'01 Setup'!$B$14,"")</x:f>
      </x:c>
      <x:c r="I47" s="83" t="str">
        <x:f>IF(NOT(ISNUMBER(B47)),"",IF(NOT(ISNUMBER($L$14)),"Review baseline",IF(OR(B47&lt;E47,B47&gt;F47),"I outside limit",IF(AND(ISNUMBER(C47),ISNUMBER(H47),C47&gt;H47),"MR outside limit","No point beyond limits"))))</x:f>
      </x:c>
      <x:c r="J47" s="3"/>
      <x:c r="K47" s="3"/>
      <x:c r="L47" s="3"/>
      <x:c r="M47" s="3"/>
      <x:c r="N47" s="3"/>
      <x:c r="O47" s="3"/>
      <x:c r="P47" s="3"/>
      <x:c r="Q47" s="3"/>
      <x:c r="R47" s="3"/>
    </x:row>
    <x:row r="48" ht="34" customHeight="1">
      <x:c r="A48" s="46" t="n">
        <x:v>39</x:v>
      </x:c>
      <x:c r="B48" s="112"/>
      <x:c r="C48" s="113" t="str">
        <x:f>IF(COUNT(B47:B48)=2,ABS(B48-B47),"")</x:f>
      </x:c>
      <x:c r="D48" s="113" t="str">
        <x:f>IF(AND(ISNUMBER(B48),ISNUMBER($L$11)),$L$11,"")</x:f>
      </x:c>
      <x:c r="E48" s="113" t="str">
        <x:f>IF(AND(ISNUMBER(B48),ISNUMBER($L$14)),$L$14,"")</x:f>
      </x:c>
      <x:c r="F48" s="113" t="str">
        <x:f>IF(AND(ISNUMBER(B48),ISNUMBER($L$15)),$L$15,"")</x:f>
      </x:c>
      <x:c r="G48" s="113" t="str">
        <x:f>IF(AND(ISNUMBER(B48),ISNUMBER($L$12)),$L$12,"")</x:f>
      </x:c>
      <x:c r="H48" s="113" t="str">
        <x:f>IF(AND(ISNUMBER(B48),ISNUMBER($L$12),$L$12&gt;0),$L$12*'01 Setup'!$B$14,"")</x:f>
      </x:c>
      <x:c r="I48" s="83" t="str">
        <x:f>IF(NOT(ISNUMBER(B48)),"",IF(NOT(ISNUMBER($L$14)),"Review baseline",IF(OR(B48&lt;E48,B48&gt;F48),"I outside limit",IF(AND(ISNUMBER(C48),ISNUMBER(H48),C48&gt;H48),"MR outside limit","No point beyond limits"))))</x:f>
      </x:c>
      <x:c r="J48" s="3"/>
      <x:c r="K48" s="3"/>
      <x:c r="L48" s="3"/>
      <x:c r="M48" s="3"/>
      <x:c r="N48" s="3"/>
      <x:c r="O48" s="3"/>
      <x:c r="P48" s="3"/>
      <x:c r="Q48" s="3"/>
      <x:c r="R48" s="3"/>
    </x:row>
    <x:row r="49" ht="34" customHeight="1">
      <x:c r="A49" s="46" t="n">
        <x:v>40</x:v>
      </x:c>
      <x:c r="B49" s="112"/>
      <x:c r="C49" s="113" t="str">
        <x:f>IF(COUNT(B48:B49)=2,ABS(B49-B48),"")</x:f>
      </x:c>
      <x:c r="D49" s="113" t="str">
        <x:f>IF(AND(ISNUMBER(B49),ISNUMBER($L$11)),$L$11,"")</x:f>
      </x:c>
      <x:c r="E49" s="113" t="str">
        <x:f>IF(AND(ISNUMBER(B49),ISNUMBER($L$14)),$L$14,"")</x:f>
      </x:c>
      <x:c r="F49" s="113" t="str">
        <x:f>IF(AND(ISNUMBER(B49),ISNUMBER($L$15)),$L$15,"")</x:f>
      </x:c>
      <x:c r="G49" s="113" t="str">
        <x:f>IF(AND(ISNUMBER(B49),ISNUMBER($L$12)),$L$12,"")</x:f>
      </x:c>
      <x:c r="H49" s="113" t="str">
        <x:f>IF(AND(ISNUMBER(B49),ISNUMBER($L$12),$L$12&gt;0),$L$12*'01 Setup'!$B$14,"")</x:f>
      </x:c>
      <x:c r="I49" s="83" t="str">
        <x:f>IF(NOT(ISNUMBER(B49)),"",IF(NOT(ISNUMBER($L$14)),"Review baseline",IF(OR(B49&lt;E49,B49&gt;F49),"I outside limit",IF(AND(ISNUMBER(C49),ISNUMBER(H49),C49&gt;H49),"MR outside limit","No point beyond limits"))))</x:f>
      </x:c>
      <x:c r="J49" s="3"/>
      <x:c r="K49" s="3"/>
      <x:c r="L49" s="3"/>
      <x:c r="M49" s="3"/>
      <x:c r="N49" s="3"/>
      <x:c r="O49" s="3"/>
      <x:c r="P49" s="3"/>
      <x:c r="Q49" s="3"/>
      <x:c r="R49" s="3"/>
    </x:row>
    <x:row r="50" ht="34" customHeight="1">
      <x:c r="A50" s="46" t="n">
        <x:v>41</x:v>
      </x:c>
      <x:c r="B50" s="112"/>
      <x:c r="C50" s="113" t="str">
        <x:f>IF(COUNT(B49:B50)=2,ABS(B50-B49),"")</x:f>
      </x:c>
      <x:c r="D50" s="113" t="str">
        <x:f>IF(AND(ISNUMBER(B50),ISNUMBER($L$11)),$L$11,"")</x:f>
      </x:c>
      <x:c r="E50" s="113" t="str">
        <x:f>IF(AND(ISNUMBER(B50),ISNUMBER($L$14)),$L$14,"")</x:f>
      </x:c>
      <x:c r="F50" s="113" t="str">
        <x:f>IF(AND(ISNUMBER(B50),ISNUMBER($L$15)),$L$15,"")</x:f>
      </x:c>
      <x:c r="G50" s="113" t="str">
        <x:f>IF(AND(ISNUMBER(B50),ISNUMBER($L$12)),$L$12,"")</x:f>
      </x:c>
      <x:c r="H50" s="113" t="str">
        <x:f>IF(AND(ISNUMBER(B50),ISNUMBER($L$12),$L$12&gt;0),$L$12*'01 Setup'!$B$14,"")</x:f>
      </x:c>
      <x:c r="I50" s="83" t="str">
        <x:f>IF(NOT(ISNUMBER(B50)),"",IF(NOT(ISNUMBER($L$14)),"Review baseline",IF(OR(B50&lt;E50,B50&gt;F50),"I outside limit",IF(AND(ISNUMBER(C50),ISNUMBER(H50),C50&gt;H50),"MR outside limit","No point beyond limits"))))</x:f>
      </x:c>
      <x:c r="J50" s="3"/>
      <x:c r="K50" s="3"/>
      <x:c r="L50" s="3"/>
      <x:c r="M50" s="3"/>
      <x:c r="N50" s="3"/>
      <x:c r="O50" s="3"/>
      <x:c r="P50" s="3"/>
      <x:c r="Q50" s="3"/>
      <x:c r="R50" s="3"/>
    </x:row>
    <x:row r="51" ht="34" customHeight="1">
      <x:c r="A51" s="46" t="n">
        <x:v>42</x:v>
      </x:c>
      <x:c r="B51" s="112"/>
      <x:c r="C51" s="113" t="str">
        <x:f>IF(COUNT(B50:B51)=2,ABS(B51-B50),"")</x:f>
      </x:c>
      <x:c r="D51" s="113" t="str">
        <x:f>IF(AND(ISNUMBER(B51),ISNUMBER($L$11)),$L$11,"")</x:f>
      </x:c>
      <x:c r="E51" s="113" t="str">
        <x:f>IF(AND(ISNUMBER(B51),ISNUMBER($L$14)),$L$14,"")</x:f>
      </x:c>
      <x:c r="F51" s="113" t="str">
        <x:f>IF(AND(ISNUMBER(B51),ISNUMBER($L$15)),$L$15,"")</x:f>
      </x:c>
      <x:c r="G51" s="113" t="str">
        <x:f>IF(AND(ISNUMBER(B51),ISNUMBER($L$12)),$L$12,"")</x:f>
      </x:c>
      <x:c r="H51" s="113" t="str">
        <x:f>IF(AND(ISNUMBER(B51),ISNUMBER($L$12),$L$12&gt;0),$L$12*'01 Setup'!$B$14,"")</x:f>
      </x:c>
      <x:c r="I51" s="83" t="str">
        <x:f>IF(NOT(ISNUMBER(B51)),"",IF(NOT(ISNUMBER($L$14)),"Review baseline",IF(OR(B51&lt;E51,B51&gt;F51),"I outside limit",IF(AND(ISNUMBER(C51),ISNUMBER(H51),C51&gt;H51),"MR outside limit","No point beyond limits"))))</x:f>
      </x:c>
      <x:c r="J51" s="3"/>
      <x:c r="K51" s="3"/>
      <x:c r="L51" s="3"/>
      <x:c r="M51" s="3"/>
      <x:c r="N51" s="3"/>
      <x:c r="O51" s="3"/>
      <x:c r="P51" s="3"/>
      <x:c r="Q51" s="3"/>
      <x:c r="R51" s="3"/>
    </x:row>
    <x:row r="52" ht="34" customHeight="1">
      <x:c r="A52" s="46" t="n">
        <x:v>43</x:v>
      </x:c>
      <x:c r="B52" s="112"/>
      <x:c r="C52" s="113" t="str">
        <x:f>IF(COUNT(B51:B52)=2,ABS(B52-B51),"")</x:f>
      </x:c>
      <x:c r="D52" s="113" t="str">
        <x:f>IF(AND(ISNUMBER(B52),ISNUMBER($L$11)),$L$11,"")</x:f>
      </x:c>
      <x:c r="E52" s="113" t="str">
        <x:f>IF(AND(ISNUMBER(B52),ISNUMBER($L$14)),$L$14,"")</x:f>
      </x:c>
      <x:c r="F52" s="113" t="str">
        <x:f>IF(AND(ISNUMBER(B52),ISNUMBER($L$15)),$L$15,"")</x:f>
      </x:c>
      <x:c r="G52" s="113" t="str">
        <x:f>IF(AND(ISNUMBER(B52),ISNUMBER($L$12)),$L$12,"")</x:f>
      </x:c>
      <x:c r="H52" s="113" t="str">
        <x:f>IF(AND(ISNUMBER(B52),ISNUMBER($L$12),$L$12&gt;0),$L$12*'01 Setup'!$B$14,"")</x:f>
      </x:c>
      <x:c r="I52" s="83" t="str">
        <x:f>IF(NOT(ISNUMBER(B52)),"",IF(NOT(ISNUMBER($L$14)),"Review baseline",IF(OR(B52&lt;E52,B52&gt;F52),"I outside limit",IF(AND(ISNUMBER(C52),ISNUMBER(H52),C52&gt;H52),"MR outside limit","No point beyond limits"))))</x:f>
      </x:c>
      <x:c r="J52" s="3"/>
      <x:c r="K52" s="3"/>
      <x:c r="L52" s="3"/>
      <x:c r="M52" s="3"/>
      <x:c r="N52" s="3"/>
      <x:c r="O52" s="3"/>
      <x:c r="P52" s="3"/>
      <x:c r="Q52" s="3"/>
      <x:c r="R52" s="3"/>
    </x:row>
    <x:row r="53" ht="34" customHeight="1">
      <x:c r="A53" s="46" t="n">
        <x:v>44</x:v>
      </x:c>
      <x:c r="B53" s="112"/>
      <x:c r="C53" s="113" t="str">
        <x:f>IF(COUNT(B52:B53)=2,ABS(B53-B52),"")</x:f>
      </x:c>
      <x:c r="D53" s="113" t="str">
        <x:f>IF(AND(ISNUMBER(B53),ISNUMBER($L$11)),$L$11,"")</x:f>
      </x:c>
      <x:c r="E53" s="113" t="str">
        <x:f>IF(AND(ISNUMBER(B53),ISNUMBER($L$14)),$L$14,"")</x:f>
      </x:c>
      <x:c r="F53" s="113" t="str">
        <x:f>IF(AND(ISNUMBER(B53),ISNUMBER($L$15)),$L$15,"")</x:f>
      </x:c>
      <x:c r="G53" s="113" t="str">
        <x:f>IF(AND(ISNUMBER(B53),ISNUMBER($L$12)),$L$12,"")</x:f>
      </x:c>
      <x:c r="H53" s="113" t="str">
        <x:f>IF(AND(ISNUMBER(B53),ISNUMBER($L$12),$L$12&gt;0),$L$12*'01 Setup'!$B$14,"")</x:f>
      </x:c>
      <x:c r="I53" s="83" t="str">
        <x:f>IF(NOT(ISNUMBER(B53)),"",IF(NOT(ISNUMBER($L$14)),"Review baseline",IF(OR(B53&lt;E53,B53&gt;F53),"I outside limit",IF(AND(ISNUMBER(C53),ISNUMBER(H53),C53&gt;H53),"MR outside limit","No point beyond limits"))))</x:f>
      </x:c>
      <x:c r="J53" s="3"/>
      <x:c r="K53" s="3"/>
      <x:c r="L53" s="3"/>
      <x:c r="M53" s="3"/>
      <x:c r="N53" s="3"/>
      <x:c r="O53" s="3"/>
      <x:c r="P53" s="3"/>
      <x:c r="Q53" s="3"/>
      <x:c r="R53" s="3"/>
    </x:row>
    <x:row r="54" ht="34" customHeight="1">
      <x:c r="A54" s="46" t="n">
        <x:v>45</x:v>
      </x:c>
      <x:c r="B54" s="112"/>
      <x:c r="C54" s="113" t="str">
        <x:f>IF(COUNT(B53:B54)=2,ABS(B54-B53),"")</x:f>
      </x:c>
      <x:c r="D54" s="113" t="str">
        <x:f>IF(AND(ISNUMBER(B54),ISNUMBER($L$11)),$L$11,"")</x:f>
      </x:c>
      <x:c r="E54" s="113" t="str">
        <x:f>IF(AND(ISNUMBER(B54),ISNUMBER($L$14)),$L$14,"")</x:f>
      </x:c>
      <x:c r="F54" s="113" t="str">
        <x:f>IF(AND(ISNUMBER(B54),ISNUMBER($L$15)),$L$15,"")</x:f>
      </x:c>
      <x:c r="G54" s="113" t="str">
        <x:f>IF(AND(ISNUMBER(B54),ISNUMBER($L$12)),$L$12,"")</x:f>
      </x:c>
      <x:c r="H54" s="113" t="str">
        <x:f>IF(AND(ISNUMBER(B54),ISNUMBER($L$12),$L$12&gt;0),$L$12*'01 Setup'!$B$14,"")</x:f>
      </x:c>
      <x:c r="I54" s="83" t="str">
        <x:f>IF(NOT(ISNUMBER(B54)),"",IF(NOT(ISNUMBER($L$14)),"Review baseline",IF(OR(B54&lt;E54,B54&gt;F54),"I outside limit",IF(AND(ISNUMBER(C54),ISNUMBER(H54),C54&gt;H54),"MR outside limit","No point beyond limits"))))</x:f>
      </x:c>
      <x:c r="J54" s="3"/>
      <x:c r="K54" s="3"/>
      <x:c r="L54" s="3"/>
      <x:c r="M54" s="3"/>
      <x:c r="N54" s="3"/>
      <x:c r="O54" s="3"/>
      <x:c r="P54" s="3"/>
      <x:c r="Q54" s="3"/>
      <x:c r="R54" s="3"/>
    </x:row>
    <x:row r="55" ht="34" customHeight="1">
      <x:c r="A55" s="46" t="n">
        <x:v>46</x:v>
      </x:c>
      <x:c r="B55" s="112"/>
      <x:c r="C55" s="113" t="str">
        <x:f>IF(COUNT(B54:B55)=2,ABS(B55-B54),"")</x:f>
      </x:c>
      <x:c r="D55" s="113" t="str">
        <x:f>IF(AND(ISNUMBER(B55),ISNUMBER($L$11)),$L$11,"")</x:f>
      </x:c>
      <x:c r="E55" s="113" t="str">
        <x:f>IF(AND(ISNUMBER(B55),ISNUMBER($L$14)),$L$14,"")</x:f>
      </x:c>
      <x:c r="F55" s="113" t="str">
        <x:f>IF(AND(ISNUMBER(B55),ISNUMBER($L$15)),$L$15,"")</x:f>
      </x:c>
      <x:c r="G55" s="113" t="str">
        <x:f>IF(AND(ISNUMBER(B55),ISNUMBER($L$12)),$L$12,"")</x:f>
      </x:c>
      <x:c r="H55" s="113" t="str">
        <x:f>IF(AND(ISNUMBER(B55),ISNUMBER($L$12),$L$12&gt;0),$L$12*'01 Setup'!$B$14,"")</x:f>
      </x:c>
      <x:c r="I55" s="83" t="str">
        <x:f>IF(NOT(ISNUMBER(B55)),"",IF(NOT(ISNUMBER($L$14)),"Review baseline",IF(OR(B55&lt;E55,B55&gt;F55),"I outside limit",IF(AND(ISNUMBER(C55),ISNUMBER(H55),C55&gt;H55),"MR outside limit","No point beyond limits"))))</x:f>
      </x:c>
      <x:c r="J55" s="3"/>
      <x:c r="K55" s="3"/>
      <x:c r="L55" s="3"/>
      <x:c r="M55" s="3"/>
      <x:c r="N55" s="3"/>
      <x:c r="O55" s="3"/>
      <x:c r="P55" s="3"/>
      <x:c r="Q55" s="3"/>
      <x:c r="R55" s="3"/>
    </x:row>
    <x:row r="56" ht="34" customHeight="1">
      <x:c r="A56" s="46" t="n">
        <x:v>47</x:v>
      </x:c>
      <x:c r="B56" s="112"/>
      <x:c r="C56" s="113" t="str">
        <x:f>IF(COUNT(B55:B56)=2,ABS(B56-B55),"")</x:f>
      </x:c>
      <x:c r="D56" s="113" t="str">
        <x:f>IF(AND(ISNUMBER(B56),ISNUMBER($L$11)),$L$11,"")</x:f>
      </x:c>
      <x:c r="E56" s="113" t="str">
        <x:f>IF(AND(ISNUMBER(B56),ISNUMBER($L$14)),$L$14,"")</x:f>
      </x:c>
      <x:c r="F56" s="113" t="str">
        <x:f>IF(AND(ISNUMBER(B56),ISNUMBER($L$15)),$L$15,"")</x:f>
      </x:c>
      <x:c r="G56" s="113" t="str">
        <x:f>IF(AND(ISNUMBER(B56),ISNUMBER($L$12)),$L$12,"")</x:f>
      </x:c>
      <x:c r="H56" s="113" t="str">
        <x:f>IF(AND(ISNUMBER(B56),ISNUMBER($L$12),$L$12&gt;0),$L$12*'01 Setup'!$B$14,"")</x:f>
      </x:c>
      <x:c r="I56" s="83" t="str">
        <x:f>IF(NOT(ISNUMBER(B56)),"",IF(NOT(ISNUMBER($L$14)),"Review baseline",IF(OR(B56&lt;E56,B56&gt;F56),"I outside limit",IF(AND(ISNUMBER(C56),ISNUMBER(H56),C56&gt;H56),"MR outside limit","No point beyond limits"))))</x:f>
      </x:c>
      <x:c r="J56" s="3"/>
      <x:c r="K56" s="3"/>
      <x:c r="L56" s="3"/>
      <x:c r="M56" s="3"/>
      <x:c r="N56" s="3"/>
      <x:c r="O56" s="3"/>
      <x:c r="P56" s="3"/>
      <x:c r="Q56" s="3"/>
      <x:c r="R56" s="3"/>
    </x:row>
    <x:row r="57" ht="34" customHeight="1">
      <x:c r="A57" s="46" t="n">
        <x:v>48</x:v>
      </x:c>
      <x:c r="B57" s="112"/>
      <x:c r="C57" s="113" t="str">
        <x:f>IF(COUNT(B56:B57)=2,ABS(B57-B56),"")</x:f>
      </x:c>
      <x:c r="D57" s="113" t="str">
        <x:f>IF(AND(ISNUMBER(B57),ISNUMBER($L$11)),$L$11,"")</x:f>
      </x:c>
      <x:c r="E57" s="113" t="str">
        <x:f>IF(AND(ISNUMBER(B57),ISNUMBER($L$14)),$L$14,"")</x:f>
      </x:c>
      <x:c r="F57" s="113" t="str">
        <x:f>IF(AND(ISNUMBER(B57),ISNUMBER($L$15)),$L$15,"")</x:f>
      </x:c>
      <x:c r="G57" s="113" t="str">
        <x:f>IF(AND(ISNUMBER(B57),ISNUMBER($L$12)),$L$12,"")</x:f>
      </x:c>
      <x:c r="H57" s="113" t="str">
        <x:f>IF(AND(ISNUMBER(B57),ISNUMBER($L$12),$L$12&gt;0),$L$12*'01 Setup'!$B$14,"")</x:f>
      </x:c>
      <x:c r="I57" s="83" t="str">
        <x:f>IF(NOT(ISNUMBER(B57)),"",IF(NOT(ISNUMBER($L$14)),"Review baseline",IF(OR(B57&lt;E57,B57&gt;F57),"I outside limit",IF(AND(ISNUMBER(C57),ISNUMBER(H57),C57&gt;H57),"MR outside limit","No point beyond limits"))))</x:f>
      </x:c>
      <x:c r="J57" s="3"/>
      <x:c r="K57" s="3"/>
      <x:c r="L57" s="3"/>
      <x:c r="M57" s="3"/>
      <x:c r="N57" s="3"/>
      <x:c r="O57" s="3"/>
      <x:c r="P57" s="3"/>
      <x:c r="Q57" s="3"/>
      <x:c r="R57" s="3"/>
    </x:row>
    <x:row r="58" ht="34" customHeight="1">
      <x:c r="A58" s="46" t="n">
        <x:v>49</x:v>
      </x:c>
      <x:c r="B58" s="112"/>
      <x:c r="C58" s="113" t="str">
        <x:f>IF(COUNT(B57:B58)=2,ABS(B58-B57),"")</x:f>
      </x:c>
      <x:c r="D58" s="113" t="str">
        <x:f>IF(AND(ISNUMBER(B58),ISNUMBER($L$11)),$L$11,"")</x:f>
      </x:c>
      <x:c r="E58" s="113" t="str">
        <x:f>IF(AND(ISNUMBER(B58),ISNUMBER($L$14)),$L$14,"")</x:f>
      </x:c>
      <x:c r="F58" s="113" t="str">
        <x:f>IF(AND(ISNUMBER(B58),ISNUMBER($L$15)),$L$15,"")</x:f>
      </x:c>
      <x:c r="G58" s="113" t="str">
        <x:f>IF(AND(ISNUMBER(B58),ISNUMBER($L$12)),$L$12,"")</x:f>
      </x:c>
      <x:c r="H58" s="113" t="str">
        <x:f>IF(AND(ISNUMBER(B58),ISNUMBER($L$12),$L$12&gt;0),$L$12*'01 Setup'!$B$14,"")</x:f>
      </x:c>
      <x:c r="I58" s="83" t="str">
        <x:f>IF(NOT(ISNUMBER(B58)),"",IF(NOT(ISNUMBER($L$14)),"Review baseline",IF(OR(B58&lt;E58,B58&gt;F58),"I outside limit",IF(AND(ISNUMBER(C58),ISNUMBER(H58),C58&gt;H58),"MR outside limit","No point beyond limits"))))</x:f>
      </x:c>
      <x:c r="J58" s="3"/>
      <x:c r="K58" s="3"/>
      <x:c r="L58" s="3"/>
      <x:c r="M58" s="3"/>
      <x:c r="N58" s="3"/>
      <x:c r="O58" s="3"/>
      <x:c r="P58" s="3"/>
      <x:c r="Q58" s="3"/>
      <x:c r="R58" s="3"/>
    </x:row>
    <x:row r="59" ht="34" customHeight="1">
      <x:c r="A59" s="46" t="n">
        <x:v>50</x:v>
      </x:c>
      <x:c r="B59" s="112"/>
      <x:c r="C59" s="113" t="str">
        <x:f>IF(COUNT(B58:B59)=2,ABS(B59-B58),"")</x:f>
      </x:c>
      <x:c r="D59" s="113" t="str">
        <x:f>IF(AND(ISNUMBER(B59),ISNUMBER($L$11)),$L$11,"")</x:f>
      </x:c>
      <x:c r="E59" s="113" t="str">
        <x:f>IF(AND(ISNUMBER(B59),ISNUMBER($L$14)),$L$14,"")</x:f>
      </x:c>
      <x:c r="F59" s="113" t="str">
        <x:f>IF(AND(ISNUMBER(B59),ISNUMBER($L$15)),$L$15,"")</x:f>
      </x:c>
      <x:c r="G59" s="113" t="str">
        <x:f>IF(AND(ISNUMBER(B59),ISNUMBER($L$12)),$L$12,"")</x:f>
      </x:c>
      <x:c r="H59" s="113" t="str">
        <x:f>IF(AND(ISNUMBER(B59),ISNUMBER($L$12),$L$12&gt;0),$L$12*'01 Setup'!$B$14,"")</x:f>
      </x:c>
      <x:c r="I59" s="83" t="str">
        <x:f>IF(NOT(ISNUMBER(B59)),"",IF(NOT(ISNUMBER($L$14)),"Review baseline",IF(OR(B59&lt;E59,B59&gt;F59),"I outside limit",IF(AND(ISNUMBER(C59),ISNUMBER(H59),C59&gt;H59),"MR outside limit","No point beyond limits"))))</x:f>
      </x:c>
      <x:c r="J59" s="3"/>
      <x:c r="K59" s="3"/>
      <x:c r="L59" s="3"/>
      <x:c r="M59" s="3"/>
      <x:c r="N59" s="3"/>
      <x:c r="O59" s="3"/>
      <x:c r="P59" s="3"/>
      <x:c r="Q59" s="3"/>
      <x:c r="R59" s="3"/>
    </x:row>
    <x:row r="60" ht="34" customHeight="1">
      <x:c r="A60" s="46" t="n">
        <x:v>51</x:v>
      </x:c>
      <x:c r="B60" s="112"/>
      <x:c r="C60" s="113" t="str">
        <x:f>IF(COUNT(B59:B60)=2,ABS(B60-B59),"")</x:f>
      </x:c>
      <x:c r="D60" s="113" t="str">
        <x:f>IF(AND(ISNUMBER(B60),ISNUMBER($L$11)),$L$11,"")</x:f>
      </x:c>
      <x:c r="E60" s="113" t="str">
        <x:f>IF(AND(ISNUMBER(B60),ISNUMBER($L$14)),$L$14,"")</x:f>
      </x:c>
      <x:c r="F60" s="113" t="str">
        <x:f>IF(AND(ISNUMBER(B60),ISNUMBER($L$15)),$L$15,"")</x:f>
      </x:c>
      <x:c r="G60" s="113" t="str">
        <x:f>IF(AND(ISNUMBER(B60),ISNUMBER($L$12)),$L$12,"")</x:f>
      </x:c>
      <x:c r="H60" s="113" t="str">
        <x:f>IF(AND(ISNUMBER(B60),ISNUMBER($L$12),$L$12&gt;0),$L$12*'01 Setup'!$B$14,"")</x:f>
      </x:c>
      <x:c r="I60" s="83" t="str">
        <x:f>IF(NOT(ISNUMBER(B60)),"",IF(NOT(ISNUMBER($L$14)),"Review baseline",IF(OR(B60&lt;E60,B60&gt;F60),"I outside limit",IF(AND(ISNUMBER(C60),ISNUMBER(H60),C60&gt;H60),"MR outside limit","No point beyond limits"))))</x:f>
      </x:c>
      <x:c r="J60" s="3"/>
      <x:c r="K60" s="3"/>
      <x:c r="L60" s="3"/>
      <x:c r="M60" s="3"/>
      <x:c r="N60" s="3"/>
      <x:c r="O60" s="3"/>
      <x:c r="P60" s="3"/>
      <x:c r="Q60" s="3"/>
      <x:c r="R60" s="3"/>
    </x:row>
    <x:row r="61" ht="34" customHeight="1">
      <x:c r="A61" s="46" t="n">
        <x:v>52</x:v>
      </x:c>
      <x:c r="B61" s="112"/>
      <x:c r="C61" s="113" t="str">
        <x:f>IF(COUNT(B60:B61)=2,ABS(B61-B60),"")</x:f>
      </x:c>
      <x:c r="D61" s="113" t="str">
        <x:f>IF(AND(ISNUMBER(B61),ISNUMBER($L$11)),$L$11,"")</x:f>
      </x:c>
      <x:c r="E61" s="113" t="str">
        <x:f>IF(AND(ISNUMBER(B61),ISNUMBER($L$14)),$L$14,"")</x:f>
      </x:c>
      <x:c r="F61" s="113" t="str">
        <x:f>IF(AND(ISNUMBER(B61),ISNUMBER($L$15)),$L$15,"")</x:f>
      </x:c>
      <x:c r="G61" s="113" t="str">
        <x:f>IF(AND(ISNUMBER(B61),ISNUMBER($L$12)),$L$12,"")</x:f>
      </x:c>
      <x:c r="H61" s="113" t="str">
        <x:f>IF(AND(ISNUMBER(B61),ISNUMBER($L$12),$L$12&gt;0),$L$12*'01 Setup'!$B$14,"")</x:f>
      </x:c>
      <x:c r="I61" s="83" t="str">
        <x:f>IF(NOT(ISNUMBER(B61)),"",IF(NOT(ISNUMBER($L$14)),"Review baseline",IF(OR(B61&lt;E61,B61&gt;F61),"I outside limit",IF(AND(ISNUMBER(C61),ISNUMBER(H61),C61&gt;H61),"MR outside limit","No point beyond limits"))))</x:f>
      </x:c>
      <x:c r="J61" s="3"/>
      <x:c r="K61" s="3"/>
      <x:c r="L61" s="3"/>
      <x:c r="M61" s="3"/>
      <x:c r="N61" s="3"/>
      <x:c r="O61" s="3"/>
      <x:c r="P61" s="3"/>
      <x:c r="Q61" s="3"/>
      <x:c r="R61" s="3"/>
    </x:row>
    <x:row r="62" ht="34" customHeight="1">
      <x:c r="A62" s="46" t="n">
        <x:v>53</x:v>
      </x:c>
      <x:c r="B62" s="112"/>
      <x:c r="C62" s="113" t="str">
        <x:f>IF(COUNT(B61:B62)=2,ABS(B62-B61),"")</x:f>
      </x:c>
      <x:c r="D62" s="113" t="str">
        <x:f>IF(AND(ISNUMBER(B62),ISNUMBER($L$11)),$L$11,"")</x:f>
      </x:c>
      <x:c r="E62" s="113" t="str">
        <x:f>IF(AND(ISNUMBER(B62),ISNUMBER($L$14)),$L$14,"")</x:f>
      </x:c>
      <x:c r="F62" s="113" t="str">
        <x:f>IF(AND(ISNUMBER(B62),ISNUMBER($L$15)),$L$15,"")</x:f>
      </x:c>
      <x:c r="G62" s="113" t="str">
        <x:f>IF(AND(ISNUMBER(B62),ISNUMBER($L$12)),$L$12,"")</x:f>
      </x:c>
      <x:c r="H62" s="113" t="str">
        <x:f>IF(AND(ISNUMBER(B62),ISNUMBER($L$12),$L$12&gt;0),$L$12*'01 Setup'!$B$14,"")</x:f>
      </x:c>
      <x:c r="I62" s="83" t="str">
        <x:f>IF(NOT(ISNUMBER(B62)),"",IF(NOT(ISNUMBER($L$14)),"Review baseline",IF(OR(B62&lt;E62,B62&gt;F62),"I outside limit",IF(AND(ISNUMBER(C62),ISNUMBER(H62),C62&gt;H62),"MR outside limit","No point beyond limits"))))</x:f>
      </x:c>
      <x:c r="J62" s="3"/>
      <x:c r="K62" s="3"/>
      <x:c r="L62" s="3"/>
      <x:c r="M62" s="3"/>
      <x:c r="N62" s="3"/>
      <x:c r="O62" s="3"/>
      <x:c r="P62" s="3"/>
      <x:c r="Q62" s="3"/>
      <x:c r="R62" s="3"/>
    </x:row>
    <x:row r="63" ht="34" customHeight="1">
      <x:c r="A63" s="46" t="n">
        <x:v>54</x:v>
      </x:c>
      <x:c r="B63" s="112"/>
      <x:c r="C63" s="113" t="str">
        <x:f>IF(COUNT(B62:B63)=2,ABS(B63-B62),"")</x:f>
      </x:c>
      <x:c r="D63" s="113" t="str">
        <x:f>IF(AND(ISNUMBER(B63),ISNUMBER($L$11)),$L$11,"")</x:f>
      </x:c>
      <x:c r="E63" s="113" t="str">
        <x:f>IF(AND(ISNUMBER(B63),ISNUMBER($L$14)),$L$14,"")</x:f>
      </x:c>
      <x:c r="F63" s="113" t="str">
        <x:f>IF(AND(ISNUMBER(B63),ISNUMBER($L$15)),$L$15,"")</x:f>
      </x:c>
      <x:c r="G63" s="113" t="str">
        <x:f>IF(AND(ISNUMBER(B63),ISNUMBER($L$12)),$L$12,"")</x:f>
      </x:c>
      <x:c r="H63" s="113" t="str">
        <x:f>IF(AND(ISNUMBER(B63),ISNUMBER($L$12),$L$12&gt;0),$L$12*'01 Setup'!$B$14,"")</x:f>
      </x:c>
      <x:c r="I63" s="83" t="str">
        <x:f>IF(NOT(ISNUMBER(B63)),"",IF(NOT(ISNUMBER($L$14)),"Review baseline",IF(OR(B63&lt;E63,B63&gt;F63),"I outside limit",IF(AND(ISNUMBER(C63),ISNUMBER(H63),C63&gt;H63),"MR outside limit","No point beyond limits"))))</x:f>
      </x:c>
      <x:c r="J63" s="3"/>
      <x:c r="K63" s="3"/>
      <x:c r="L63" s="3"/>
      <x:c r="M63" s="3"/>
      <x:c r="N63" s="3"/>
      <x:c r="O63" s="3"/>
      <x:c r="P63" s="3"/>
      <x:c r="Q63" s="3"/>
      <x:c r="R63" s="3"/>
    </x:row>
    <x:row r="64" ht="34" customHeight="1">
      <x:c r="A64" s="46" t="n">
        <x:v>55</x:v>
      </x:c>
      <x:c r="B64" s="112"/>
      <x:c r="C64" s="113" t="str">
        <x:f>IF(COUNT(B63:B64)=2,ABS(B64-B63),"")</x:f>
      </x:c>
      <x:c r="D64" s="113" t="str">
        <x:f>IF(AND(ISNUMBER(B64),ISNUMBER($L$11)),$L$11,"")</x:f>
      </x:c>
      <x:c r="E64" s="113" t="str">
        <x:f>IF(AND(ISNUMBER(B64),ISNUMBER($L$14)),$L$14,"")</x:f>
      </x:c>
      <x:c r="F64" s="113" t="str">
        <x:f>IF(AND(ISNUMBER(B64),ISNUMBER($L$15)),$L$15,"")</x:f>
      </x:c>
      <x:c r="G64" s="113" t="str">
        <x:f>IF(AND(ISNUMBER(B64),ISNUMBER($L$12)),$L$12,"")</x:f>
      </x:c>
      <x:c r="H64" s="113" t="str">
        <x:f>IF(AND(ISNUMBER(B64),ISNUMBER($L$12),$L$12&gt;0),$L$12*'01 Setup'!$B$14,"")</x:f>
      </x:c>
      <x:c r="I64" s="83" t="str">
        <x:f>IF(NOT(ISNUMBER(B64)),"",IF(NOT(ISNUMBER($L$14)),"Review baseline",IF(OR(B64&lt;E64,B64&gt;F64),"I outside limit",IF(AND(ISNUMBER(C64),ISNUMBER(H64),C64&gt;H64),"MR outside limit","No point beyond limits"))))</x:f>
      </x:c>
      <x:c r="J64" s="3"/>
      <x:c r="K64" s="3"/>
      <x:c r="L64" s="3"/>
      <x:c r="M64" s="3"/>
      <x:c r="N64" s="3"/>
      <x:c r="O64" s="3"/>
      <x:c r="P64" s="3"/>
      <x:c r="Q64" s="3"/>
      <x:c r="R64" s="3"/>
    </x:row>
    <x:row r="65" ht="34" customHeight="1">
      <x:c r="A65" s="46" t="n">
        <x:v>56</x:v>
      </x:c>
      <x:c r="B65" s="112"/>
      <x:c r="C65" s="113" t="str">
        <x:f>IF(COUNT(B64:B65)=2,ABS(B65-B64),"")</x:f>
      </x:c>
      <x:c r="D65" s="113" t="str">
        <x:f>IF(AND(ISNUMBER(B65),ISNUMBER($L$11)),$L$11,"")</x:f>
      </x:c>
      <x:c r="E65" s="113" t="str">
        <x:f>IF(AND(ISNUMBER(B65),ISNUMBER($L$14)),$L$14,"")</x:f>
      </x:c>
      <x:c r="F65" s="113" t="str">
        <x:f>IF(AND(ISNUMBER(B65),ISNUMBER($L$15)),$L$15,"")</x:f>
      </x:c>
      <x:c r="G65" s="113" t="str">
        <x:f>IF(AND(ISNUMBER(B65),ISNUMBER($L$12)),$L$12,"")</x:f>
      </x:c>
      <x:c r="H65" s="113" t="str">
        <x:f>IF(AND(ISNUMBER(B65),ISNUMBER($L$12),$L$12&gt;0),$L$12*'01 Setup'!$B$14,"")</x:f>
      </x:c>
      <x:c r="I65" s="83" t="str">
        <x:f>IF(NOT(ISNUMBER(B65)),"",IF(NOT(ISNUMBER($L$14)),"Review baseline",IF(OR(B65&lt;E65,B65&gt;F65),"I outside limit",IF(AND(ISNUMBER(C65),ISNUMBER(H65),C65&gt;H65),"MR outside limit","No point beyond limits"))))</x:f>
      </x:c>
      <x:c r="J65" s="3"/>
      <x:c r="K65" s="3"/>
      <x:c r="L65" s="3"/>
      <x:c r="M65" s="3"/>
      <x:c r="N65" s="3"/>
      <x:c r="O65" s="3"/>
      <x:c r="P65" s="3"/>
      <x:c r="Q65" s="3"/>
      <x:c r="R65" s="3"/>
    </x:row>
    <x:row r="66" ht="34" customHeight="1">
      <x:c r="A66" s="46" t="n">
        <x:v>57</x:v>
      </x:c>
      <x:c r="B66" s="112"/>
      <x:c r="C66" s="113" t="str">
        <x:f>IF(COUNT(B65:B66)=2,ABS(B66-B65),"")</x:f>
      </x:c>
      <x:c r="D66" s="113" t="str">
        <x:f>IF(AND(ISNUMBER(B66),ISNUMBER($L$11)),$L$11,"")</x:f>
      </x:c>
      <x:c r="E66" s="113" t="str">
        <x:f>IF(AND(ISNUMBER(B66),ISNUMBER($L$14)),$L$14,"")</x:f>
      </x:c>
      <x:c r="F66" s="113" t="str">
        <x:f>IF(AND(ISNUMBER(B66),ISNUMBER($L$15)),$L$15,"")</x:f>
      </x:c>
      <x:c r="G66" s="113" t="str">
        <x:f>IF(AND(ISNUMBER(B66),ISNUMBER($L$12)),$L$12,"")</x:f>
      </x:c>
      <x:c r="H66" s="113" t="str">
        <x:f>IF(AND(ISNUMBER(B66),ISNUMBER($L$12),$L$12&gt;0),$L$12*'01 Setup'!$B$14,"")</x:f>
      </x:c>
      <x:c r="I66" s="83" t="str">
        <x:f>IF(NOT(ISNUMBER(B66)),"",IF(NOT(ISNUMBER($L$14)),"Review baseline",IF(OR(B66&lt;E66,B66&gt;F66),"I outside limit",IF(AND(ISNUMBER(C66),ISNUMBER(H66),C66&gt;H66),"MR outside limit","No point beyond limits"))))</x:f>
      </x:c>
      <x:c r="J66" s="3"/>
      <x:c r="K66" s="3"/>
      <x:c r="L66" s="3"/>
      <x:c r="M66" s="3"/>
      <x:c r="N66" s="3"/>
      <x:c r="O66" s="3"/>
      <x:c r="P66" s="3"/>
      <x:c r="Q66" s="3"/>
      <x:c r="R66" s="3"/>
    </x:row>
    <x:row r="67" ht="34" customHeight="1">
      <x:c r="A67" s="46" t="n">
        <x:v>58</x:v>
      </x:c>
      <x:c r="B67" s="112"/>
      <x:c r="C67" s="113" t="str">
        <x:f>IF(COUNT(B66:B67)=2,ABS(B67-B66),"")</x:f>
      </x:c>
      <x:c r="D67" s="113" t="str">
        <x:f>IF(AND(ISNUMBER(B67),ISNUMBER($L$11)),$L$11,"")</x:f>
      </x:c>
      <x:c r="E67" s="113" t="str">
        <x:f>IF(AND(ISNUMBER(B67),ISNUMBER($L$14)),$L$14,"")</x:f>
      </x:c>
      <x:c r="F67" s="113" t="str">
        <x:f>IF(AND(ISNUMBER(B67),ISNUMBER($L$15)),$L$15,"")</x:f>
      </x:c>
      <x:c r="G67" s="113" t="str">
        <x:f>IF(AND(ISNUMBER(B67),ISNUMBER($L$12)),$L$12,"")</x:f>
      </x:c>
      <x:c r="H67" s="113" t="str">
        <x:f>IF(AND(ISNUMBER(B67),ISNUMBER($L$12),$L$12&gt;0),$L$12*'01 Setup'!$B$14,"")</x:f>
      </x:c>
      <x:c r="I67" s="83" t="str">
        <x:f>IF(NOT(ISNUMBER(B67)),"",IF(NOT(ISNUMBER($L$14)),"Review baseline",IF(OR(B67&lt;E67,B67&gt;F67),"I outside limit",IF(AND(ISNUMBER(C67),ISNUMBER(H67),C67&gt;H67),"MR outside limit","No point beyond limits"))))</x:f>
      </x:c>
      <x:c r="J67" s="3"/>
      <x:c r="K67" s="3"/>
      <x:c r="L67" s="3"/>
      <x:c r="M67" s="3"/>
      <x:c r="N67" s="3"/>
      <x:c r="O67" s="3"/>
      <x:c r="P67" s="3"/>
      <x:c r="Q67" s="3"/>
      <x:c r="R67" s="3"/>
    </x:row>
    <x:row r="68" ht="34" customHeight="1">
      <x:c r="A68" s="46" t="n">
        <x:v>59</x:v>
      </x:c>
      <x:c r="B68" s="112"/>
      <x:c r="C68" s="113" t="str">
        <x:f>IF(COUNT(B67:B68)=2,ABS(B68-B67),"")</x:f>
      </x:c>
      <x:c r="D68" s="113" t="str">
        <x:f>IF(AND(ISNUMBER(B68),ISNUMBER($L$11)),$L$11,"")</x:f>
      </x:c>
      <x:c r="E68" s="113" t="str">
        <x:f>IF(AND(ISNUMBER(B68),ISNUMBER($L$14)),$L$14,"")</x:f>
      </x:c>
      <x:c r="F68" s="113" t="str">
        <x:f>IF(AND(ISNUMBER(B68),ISNUMBER($L$15)),$L$15,"")</x:f>
      </x:c>
      <x:c r="G68" s="113" t="str">
        <x:f>IF(AND(ISNUMBER(B68),ISNUMBER($L$12)),$L$12,"")</x:f>
      </x:c>
      <x:c r="H68" s="113" t="str">
        <x:f>IF(AND(ISNUMBER(B68),ISNUMBER($L$12),$L$12&gt;0),$L$12*'01 Setup'!$B$14,"")</x:f>
      </x:c>
      <x:c r="I68" s="83" t="str">
        <x:f>IF(NOT(ISNUMBER(B68)),"",IF(NOT(ISNUMBER($L$14)),"Review baseline",IF(OR(B68&lt;E68,B68&gt;F68),"I outside limit",IF(AND(ISNUMBER(C68),ISNUMBER(H68),C68&gt;H68),"MR outside limit","No point beyond limits"))))</x:f>
      </x:c>
      <x:c r="J68" s="3"/>
      <x:c r="K68" s="3"/>
      <x:c r="L68" s="3"/>
      <x:c r="M68" s="3"/>
      <x:c r="N68" s="3"/>
      <x:c r="O68" s="3"/>
      <x:c r="P68" s="3"/>
      <x:c r="Q68" s="3"/>
      <x:c r="R68" s="3"/>
    </x:row>
    <x:row r="69" ht="34" customHeight="1">
      <x:c r="A69" s="46" t="n">
        <x:v>60</x:v>
      </x:c>
      <x:c r="B69" s="112"/>
      <x:c r="C69" s="113" t="str">
        <x:f>IF(COUNT(B68:B69)=2,ABS(B69-B68),"")</x:f>
      </x:c>
      <x:c r="D69" s="113" t="str">
        <x:f>IF(AND(ISNUMBER(B69),ISNUMBER($L$11)),$L$11,"")</x:f>
      </x:c>
      <x:c r="E69" s="113" t="str">
        <x:f>IF(AND(ISNUMBER(B69),ISNUMBER($L$14)),$L$14,"")</x:f>
      </x:c>
      <x:c r="F69" s="113" t="str">
        <x:f>IF(AND(ISNUMBER(B69),ISNUMBER($L$15)),$L$15,"")</x:f>
      </x:c>
      <x:c r="G69" s="113" t="str">
        <x:f>IF(AND(ISNUMBER(B69),ISNUMBER($L$12)),$L$12,"")</x:f>
      </x:c>
      <x:c r="H69" s="113" t="str">
        <x:f>IF(AND(ISNUMBER(B69),ISNUMBER($L$12),$L$12&gt;0),$L$12*'01 Setup'!$B$14,"")</x:f>
      </x:c>
      <x:c r="I69" s="83" t="str">
        <x:f>IF(NOT(ISNUMBER(B69)),"",IF(NOT(ISNUMBER($L$14)),"Review baseline",IF(OR(B69&lt;E69,B69&gt;F69),"I outside limit",IF(AND(ISNUMBER(C69),ISNUMBER(H69),C69&gt;H69),"MR outside limit","No point beyond limits"))))</x:f>
      </x:c>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17" t="str">
        <x:v>Fixed first 20 observations form the baseline. Missing values break moving-range pairs. Zero average moving range suppresses limits. The chart flags points beyond limits only, not all SPC rules. Control limits are not targets or confidence intervals. Analytical review is required before operational interpretation.</x:v>
      </x:c>
      <x:c r="B92" s="17"/>
      <x:c r="C92" s="17"/>
      <x:c r="D92" s="17"/>
      <x:c r="E92" s="17"/>
      <x:c r="F92" s="17"/>
      <x:c r="G92" s="17"/>
      <x:c r="H92" s="17"/>
      <x:c r="I92" s="17"/>
      <x:c r="J92" s="17"/>
      <x:c r="K92" s="17"/>
      <x:c r="L92" s="17"/>
      <x:c r="M92" s="3"/>
      <x:c r="N92" s="3"/>
      <x:c r="O92" s="3"/>
      <x:c r="P92" s="3"/>
      <x:c r="Q92" s="3"/>
      <x:c r="R92" s="3"/>
    </x:row>
    <x:row r="93" ht="20" customHeight="1">
      <x:c r="A93" s="17"/>
      <x:c r="B93" s="17"/>
      <x:c r="C93" s="17"/>
      <x:c r="D93" s="17"/>
      <x:c r="E93" s="17"/>
      <x:c r="F93" s="17"/>
      <x:c r="G93" s="17"/>
      <x:c r="H93" s="17"/>
      <x:c r="I93" s="17"/>
      <x:c r="J93" s="17"/>
      <x:c r="K93" s="17"/>
      <x:c r="L93" s="17"/>
      <x:c r="M93" s="3"/>
      <x:c r="N93" s="3"/>
      <x:c r="O93" s="3"/>
      <x:c r="P93" s="3"/>
      <x:c r="Q93" s="3"/>
      <x:c r="R93" s="3"/>
    </x:row>
    <x:row r="94" ht="20" customHeight="1">
      <x:c r="A94" s="17"/>
      <x:c r="B94" s="17"/>
      <x:c r="C94" s="17"/>
      <x:c r="D94" s="17"/>
      <x:c r="E94" s="17"/>
      <x:c r="F94" s="17"/>
      <x:c r="G94" s="17"/>
      <x:c r="H94" s="17"/>
      <x:c r="I94" s="17"/>
      <x:c r="J94" s="17"/>
      <x:c r="K94" s="17"/>
      <x:c r="L94" s="17"/>
      <x:c r="M94" s="3"/>
      <x:c r="N94" s="3"/>
      <x:c r="O94" s="3"/>
      <x:c r="P94" s="3"/>
      <x:c r="Q94" s="3"/>
      <x:c r="R94" s="3"/>
    </x:row>
    <x:row r="95" ht="20" customHeight="1">
      <x:c r="A95" s="17"/>
      <x:c r="B95" s="17"/>
      <x:c r="C95" s="17"/>
      <x:c r="D95" s="17"/>
      <x:c r="E95" s="17"/>
      <x:c r="F95" s="17"/>
      <x:c r="G95" s="17"/>
      <x:c r="H95" s="17"/>
      <x:c r="I95" s="17"/>
      <x:c r="J95" s="17"/>
      <x:c r="K95" s="17"/>
      <x:c r="L95" s="17"/>
      <x:c r="M95" s="3"/>
      <x:c r="N95" s="3"/>
      <x:c r="O95" s="3"/>
      <x:c r="P95" s="3"/>
      <x:c r="Q95" s="3"/>
      <x:c r="R95" s="3"/>
    </x:row>
    <x:row r="96" ht="20" customHeight="1">
      <x:c r="A96" s="17"/>
      <x:c r="B96" s="17"/>
      <x:c r="C96" s="17"/>
      <x:c r="D96" s="17"/>
      <x:c r="E96" s="17"/>
      <x:c r="F96" s="17"/>
      <x:c r="G96" s="17"/>
      <x:c r="H96" s="17"/>
      <x:c r="I96" s="17"/>
      <x:c r="J96" s="17"/>
      <x:c r="K96" s="17"/>
      <x:c r="L96" s="17"/>
      <x:c r="M96" s="3"/>
      <x:c r="N96" s="3"/>
      <x:c r="O96" s="3"/>
      <x:c r="P96" s="3"/>
      <x:c r="Q96" s="3"/>
      <x:c r="R96" s="3"/>
    </x:row>
    <x:row r="97" ht="20" customHeight="1">
      <x:c r="A97" s="17"/>
      <x:c r="B97" s="17"/>
      <x:c r="C97" s="17"/>
      <x:c r="D97" s="17"/>
      <x:c r="E97" s="17"/>
      <x:c r="F97" s="17"/>
      <x:c r="G97" s="17"/>
      <x:c r="H97" s="17"/>
      <x:c r="I97" s="17"/>
      <x:c r="J97" s="17"/>
      <x:c r="K97" s="17"/>
      <x:c r="L97" s="17"/>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S04</x:v>
      </x:c>
      <x:c r="B110" s="34"/>
      <x:c r="C110" s="34"/>
      <x:c r="D110" s="34"/>
      <x:c r="E110" s="34"/>
      <x:c r="F110" s="34"/>
      <x:c r="G110" s="34"/>
      <x:c r="H110" s="34"/>
      <x:c r="I110" s="34"/>
      <x:c r="J110" s="34"/>
      <x:c r="K110" s="34"/>
      <x:c r="L110" s="34"/>
      <x:c r="M110" s="3"/>
      <x:c r="N110" s="3"/>
      <x:c r="O110" s="3"/>
      <x:c r="P110" s="3"/>
      <x:c r="Q110" s="3"/>
      <x:c r="R110" s="3"/>
    </x:row>
    <x:row r="111" ht="20" customHeight="1">
      <x:c r="A111" s="40" t="str">
        <x:v>01  Measure and assumptions</x:v>
      </x:c>
      <x:c r="B111" s="40"/>
      <x:c r="C111" s="40"/>
      <x:c r="D111" s="17" t="str">
        <x:v>Define continuous measure and baseline suitability.</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Baseline observations</x:v>
      </x:c>
      <x:c r="B117" s="40"/>
      <x:c r="C117" s="40"/>
      <x:c r="D117" s="17" t="str">
        <x:v>Record ordered values and missing-data treatment.</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Centre and variation</x:v>
      </x:c>
      <x:c r="B123" s="40"/>
      <x:c r="C123" s="40"/>
      <x:c r="D123" s="17" t="str">
        <x:v>Calculate mean and mean moving range.</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Control limits</x:v>
      </x:c>
      <x:c r="B129" s="40"/>
      <x:c r="C129" s="40"/>
      <x:c r="D129" s="17" t="str">
        <x:v>Record formulas, constants and calculated limits.</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Monitoring and investigation</x:v>
      </x:c>
      <x:c r="B135" s="40"/>
      <x:c r="C135" s="40"/>
      <x:c r="D135" s="17" t="str">
        <x:v>Record a new value and its contextual review.</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Analytical decision</x:v>
      </x:c>
      <x:c r="B141" s="40"/>
      <x:c r="C141" s="40"/>
      <x:c r="D141" s="17" t="str">
        <x:v>Record reviewer, limitations and next action.</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This is a basic I-MR calculator, not a complete SPC engine. It flags points outside limits only. Limits are not specification limits or confidence intervals. Strong skew, autocorrelation, mixed processes, rounded data or unstable baselines require specialist review. Do not replace the lower limit with zero without recording the analytical choice.</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S03, S12, A05  |  METHOD SOURCES: R06</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 ref="A92:L97"/>
  </x:mergeCells>
  <x:pageMargins left="0.7" right="0.7" top="0.75" bottom="0.75" header="0.3" footer="0.3"/>
  <x:drawing xmlns:r="http://schemas.openxmlformats.org/officeDocument/2006/relationships" r:id="R7995106b18574871"/>
</x:worksheet>
</file>

<file path=xl/worksheets/sheet33.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2" hidden="0" customWidth="1"/>
    <x:col min="2" max="2" width="16" hidden="0" customWidth="1"/>
    <x:col min="3" max="3" width="19" hidden="0" customWidth="1"/>
    <x:col min="4" max="4" width="16" hidden="0" customWidth="1"/>
    <x:col min="5" max="5" width="18" hidden="0" customWidth="1"/>
    <x:col min="6" max="6" width="16" hidden="0" customWidth="1"/>
    <x:col min="7" max="7" width="16" hidden="0" customWidth="1"/>
    <x:col min="8" max="8" width="34" hidden="0" customWidth="1"/>
    <x:col min="9" max="9" width="30" hidden="0" customWidth="1"/>
    <x:col min="10" max="10" width="11" hidden="0" customWidth="1"/>
    <x:col min="11" max="11" width="29" hidden="0" customWidth="1"/>
    <x:col min="12" max="12" width="30"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S05  p-chart for proportion nonconforming</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Monitor a binary outcome while keeping sample size and assumptions visible.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Subgroup</x:v>
      </x:c>
      <x:c r="B9" s="77" t="str">
        <x:v>Inspected n</x:v>
      </x:c>
      <x:c r="C9" s="77" t="str">
        <x:v>Nonconforming d</x:v>
      </x:c>
      <x:c r="D9" s="77" t="str">
        <x:v>Observed p</x:v>
      </x:c>
      <x:c r="E9" s="77" t="str">
        <x:v>Centre p-bar</x:v>
      </x:c>
      <x:c r="F9" s="77" t="str">
        <x:v>LCL</x:v>
      </x:c>
      <x:c r="G9" s="77" t="str">
        <x:v>UCL</x:v>
      </x:c>
      <x:c r="H9" s="77" t="str">
        <x:v>Data check</x:v>
      </x:c>
      <x:c r="I9" s="77" t="str">
        <x:v>Point flag</x:v>
      </x:c>
      <x:c r="J9" s="3"/>
      <x:c r="K9" s="3"/>
      <x:c r="L9" s="3"/>
      <x:c r="M9" s="3"/>
      <x:c r="N9" s="3"/>
      <x:c r="O9" s="3"/>
      <x:c r="P9" s="3"/>
      <x:c r="Q9" s="3"/>
      <x:c r="R9" s="3"/>
    </x:row>
    <x:row r="10" ht="34" customHeight="1">
      <x:c r="A10" s="46" t="n">
        <x:v>1</x:v>
      </x:c>
      <x:c r="B10" s="46"/>
      <x:c r="C10" s="46"/>
      <x:c r="D10" s="90" t="str">
        <x:f>IF(H10="Valid",C10/B10,"")</x:f>
      </x:c>
      <x:c r="E10" s="90" t="str">
        <x:f>IF(AND(H10="Valid",ISNUMBER($L$11),$L$11&gt;0,$L$11&lt;1),$L$11,"")</x:f>
      </x:c>
      <x:c r="F10" s="90" t="str">
        <x:f>IF(ISNUMBER(E10),MAX(0,E10-'01 Setup'!$B$15*SQRT(E10*(1-E10)/B10)),"")</x:f>
      </x:c>
      <x:c r="G10" s="90" t="str">
        <x:f>IF(ISNUMBER(E10),MIN(1,E10+'01 Setup'!$B$15*SQRT(E10*(1-E10)/B10)),"")</x:f>
      </x:c>
      <x:c r="H10" s="83" t="str">
        <x:f>IF(COUNTA(B10:C10)=0,"",IF(COUNT(B10:C10)&lt;2,"Complete n and d",IF(OR(B10&lt;=0,C10&lt;0,C10&gt;B10,MOD(B10,1)&lt;&gt;0,MOD(C10,1)&lt;&gt;0),"Invalid counts","Valid")))</x:f>
      </x:c>
      <x:c r="I10" s="83" t="str">
        <x:f>IF(H10="","",IF(H10&lt;&gt;"Valid","Fix counts",IF(NOT(ISNUMBER(E10)),"Review baseline",IF(OR(B10*E10&lt;5,B10*(1-E10)&lt;5),"Sparse expected counts - review",IF(OR(D10&lt;F10,D10&gt;G10),"Outside limit - investigate","No point beyond limits")))))</x:f>
      </x:c>
      <x:c r="J10" s="3"/>
      <x:c r="K10" s="95" t="str">
        <x:v>Valid baseline groups</x:v>
      </x:c>
      <x:c r="L10" s="83" t="n">
        <x:f>COUNTIF(H10:H29,"Valid")</x:f>
        <x:v>0</x:v>
      </x:c>
      <x:c r="M10" s="3"/>
      <x:c r="N10" s="3"/>
      <x:c r="O10" s="3"/>
      <x:c r="P10" s="3"/>
      <x:c r="Q10" s="3"/>
      <x:c r="R10" s="3"/>
    </x:row>
    <x:row r="11" ht="34" customHeight="1">
      <x:c r="A11" s="46" t="n">
        <x:v>2</x:v>
      </x:c>
      <x:c r="B11" s="46"/>
      <x:c r="C11" s="46"/>
      <x:c r="D11" s="90" t="str">
        <x:f>IF(H11="Valid",C11/B11,"")</x:f>
      </x:c>
      <x:c r="E11" s="90" t="str">
        <x:f>IF(AND(H11="Valid",ISNUMBER($L$11),$L$11&gt;0,$L$11&lt;1),$L$11,"")</x:f>
      </x:c>
      <x:c r="F11" s="90" t="str">
        <x:f>IF(ISNUMBER(E11),MAX(0,E11-'01 Setup'!$B$15*SQRT(E11*(1-E11)/B11)),"")</x:f>
      </x:c>
      <x:c r="G11" s="90" t="str">
        <x:f>IF(ISNUMBER(E11),MIN(1,E11+'01 Setup'!$B$15*SQRT(E11*(1-E11)/B11)),"")</x:f>
      </x:c>
      <x:c r="H11" s="83" t="str">
        <x:f>IF(COUNTA(B11:C11)=0,"",IF(COUNT(B11:C11)&lt;2,"Complete n and d",IF(OR(B11&lt;=0,C11&lt;0,C11&gt;B11,MOD(B11,1)&lt;&gt;0,MOD(C11,1)&lt;&gt;0),"Invalid counts","Valid")))</x:f>
      </x:c>
      <x:c r="I11" s="83" t="str">
        <x:f>IF(H11="","",IF(H11&lt;&gt;"Valid","Fix counts",IF(NOT(ISNUMBER(E11)),"Review baseline",IF(OR(B11*E11&lt;5,B11*(1-E11)&lt;5),"Sparse expected counts - review",IF(OR(D11&lt;F11,D11&gt;G11),"Outside limit - investigate","No point beyond limits")))))</x:f>
      </x:c>
      <x:c r="J11" s="3"/>
      <x:c r="K11" s="95" t="str">
        <x:v>Baseline p-bar</x:v>
      </x:c>
      <x:c r="L11" s="90" t="str">
        <x:f>IF(AND(ISNUMBER(L12),L12&gt;0),L13/L12,"")</x:f>
      </x:c>
      <x:c r="M11" s="3"/>
      <x:c r="N11" s="3"/>
      <x:c r="O11" s="3"/>
      <x:c r="P11" s="3"/>
      <x:c r="Q11" s="3"/>
      <x:c r="R11" s="3"/>
    </x:row>
    <x:row r="12" ht="34" customHeight="1">
      <x:c r="A12" s="46" t="n">
        <x:v>3</x:v>
      </x:c>
      <x:c r="B12" s="46"/>
      <x:c r="C12" s="46"/>
      <x:c r="D12" s="90" t="str">
        <x:f>IF(H12="Valid",C12/B12,"")</x:f>
      </x:c>
      <x:c r="E12" s="90" t="str">
        <x:f>IF(AND(H12="Valid",ISNUMBER($L$11),$L$11&gt;0,$L$11&lt;1),$L$11,"")</x:f>
      </x:c>
      <x:c r="F12" s="90" t="str">
        <x:f>IF(ISNUMBER(E12),MAX(0,E12-'01 Setup'!$B$15*SQRT(E12*(1-E12)/B12)),"")</x:f>
      </x:c>
      <x:c r="G12" s="90" t="str">
        <x:f>IF(ISNUMBER(E12),MIN(1,E12+'01 Setup'!$B$15*SQRT(E12*(1-E12)/B12)),"")</x:f>
      </x:c>
      <x:c r="H12" s="83" t="str">
        <x:f>IF(COUNTA(B12:C12)=0,"",IF(COUNT(B12:C12)&lt;2,"Complete n and d",IF(OR(B12&lt;=0,C12&lt;0,C12&gt;B12,MOD(B12,1)&lt;&gt;0,MOD(C12,1)&lt;&gt;0),"Invalid counts","Valid")))</x:f>
      </x:c>
      <x:c r="I12" s="83" t="str">
        <x:f>IF(H12="","",IF(H12&lt;&gt;"Valid","Fix counts",IF(NOT(ISNUMBER(E12)),"Review baseline",IF(OR(B12*E12&lt;5,B12*(1-E12)&lt;5),"Sparse expected counts - review",IF(OR(D12&lt;F12,D12&gt;G12),"Outside limit - investigate","No point beyond limits")))))</x:f>
      </x:c>
      <x:c r="J12" s="3"/>
      <x:c r="K12" s="95" t="str">
        <x:v>Baseline n total</x:v>
      </x:c>
      <x:c r="L12" s="83" t="str">
        <x:f>IF(L10=20,SUM(B10:B29),"")</x:f>
      </x:c>
      <x:c r="M12" s="3"/>
      <x:c r="N12" s="3"/>
      <x:c r="O12" s="3"/>
      <x:c r="P12" s="3"/>
      <x:c r="Q12" s="3"/>
      <x:c r="R12" s="3"/>
    </x:row>
    <x:row r="13" ht="34" customHeight="1">
      <x:c r="A13" s="46" t="n">
        <x:v>4</x:v>
      </x:c>
      <x:c r="B13" s="46"/>
      <x:c r="C13" s="46"/>
      <x:c r="D13" s="90" t="str">
        <x:f>IF(H13="Valid",C13/B13,"")</x:f>
      </x:c>
      <x:c r="E13" s="90" t="str">
        <x:f>IF(AND(H13="Valid",ISNUMBER($L$11),$L$11&gt;0,$L$11&lt;1),$L$11,"")</x:f>
      </x:c>
      <x:c r="F13" s="90" t="str">
        <x:f>IF(ISNUMBER(E13),MAX(0,E13-'01 Setup'!$B$15*SQRT(E13*(1-E13)/B13)),"")</x:f>
      </x:c>
      <x:c r="G13" s="90" t="str">
        <x:f>IF(ISNUMBER(E13),MIN(1,E13+'01 Setup'!$B$15*SQRT(E13*(1-E13)/B13)),"")</x:f>
      </x:c>
      <x:c r="H13" s="83" t="str">
        <x:f>IF(COUNTA(B13:C13)=0,"",IF(COUNT(B13:C13)&lt;2,"Complete n and d",IF(OR(B13&lt;=0,C13&lt;0,C13&gt;B13,MOD(B13,1)&lt;&gt;0,MOD(C13,1)&lt;&gt;0),"Invalid counts","Valid")))</x:f>
      </x:c>
      <x:c r="I13" s="83" t="str">
        <x:f>IF(H13="","",IF(H13&lt;&gt;"Valid","Fix counts",IF(NOT(ISNUMBER(E13)),"Review baseline",IF(OR(B13*E13&lt;5,B13*(1-E13)&lt;5),"Sparse expected counts - review",IF(OR(D13&lt;F13,D13&gt;G13),"Outside limit - investigate","No point beyond limits")))))</x:f>
      </x:c>
      <x:c r="J13" s="3"/>
      <x:c r="K13" s="95" t="str">
        <x:v>Baseline d total</x:v>
      </x:c>
      <x:c r="L13" s="83" t="str">
        <x:f>IF(L10=20,SUM(C10:C29),"")</x:f>
      </x:c>
      <x:c r="M13" s="3"/>
      <x:c r="N13" s="3"/>
      <x:c r="O13" s="3"/>
      <x:c r="P13" s="3"/>
      <x:c r="Q13" s="3"/>
      <x:c r="R13" s="3"/>
    </x:row>
    <x:row r="14" ht="34" customHeight="1">
      <x:c r="A14" s="46" t="n">
        <x:v>5</x:v>
      </x:c>
      <x:c r="B14" s="46"/>
      <x:c r="C14" s="46"/>
      <x:c r="D14" s="90" t="str">
        <x:f>IF(H14="Valid",C14/B14,"")</x:f>
      </x:c>
      <x:c r="E14" s="90" t="str">
        <x:f>IF(AND(H14="Valid",ISNUMBER($L$11),$L$11&gt;0,$L$11&lt;1),$L$11,"")</x:f>
      </x:c>
      <x:c r="F14" s="90" t="str">
        <x:f>IF(ISNUMBER(E14),MAX(0,E14-'01 Setup'!$B$15*SQRT(E14*(1-E14)/B14)),"")</x:f>
      </x:c>
      <x:c r="G14" s="90" t="str">
        <x:f>IF(ISNUMBER(E14),MIN(1,E14+'01 Setup'!$B$15*SQRT(E14*(1-E14)/B14)),"")</x:f>
      </x:c>
      <x:c r="H14" s="83" t="str">
        <x:f>IF(COUNTA(B14:C14)=0,"",IF(COUNT(B14:C14)&lt;2,"Complete n and d",IF(OR(B14&lt;=0,C14&lt;0,C14&gt;B14,MOD(B14,1)&lt;&gt;0,MOD(C14,1)&lt;&gt;0),"Invalid counts","Valid")))</x:f>
      </x:c>
      <x:c r="I14" s="83" t="str">
        <x:f>IF(H14="","",IF(H14&lt;&gt;"Valid","Fix counts",IF(NOT(ISNUMBER(E14)),"Review baseline",IF(OR(B14*E14&lt;5,B14*(1-E14)&lt;5),"Sparse expected counts - review",IF(OR(D14&lt;F14,D14&gt;G14),"Outside limit - investigate","No point beyond limits")))))</x:f>
      </x:c>
      <x:c r="J14" s="3"/>
      <x:c r="K14" s="95" t="str">
        <x:v>Readiness</x:v>
      </x:c>
      <x:c r="L14" s="83" t="str">
        <x:f>IF(L10&lt;20,"Complete 20 valid baseline groups",IF(OR(L11=0,L11=1),"Boundary proportion - analytical review","Review independence and expected counts"))</x:f>
        <x:v>Complete 20 valid baseline groups</x:v>
      </x:c>
      <x:c r="M14" s="3"/>
      <x:c r="N14" s="3"/>
      <x:c r="O14" s="3"/>
      <x:c r="P14" s="3"/>
      <x:c r="Q14" s="3"/>
      <x:c r="R14" s="3"/>
    </x:row>
    <x:row r="15" ht="34" customHeight="1">
      <x:c r="A15" s="46" t="n">
        <x:v>6</x:v>
      </x:c>
      <x:c r="B15" s="46"/>
      <x:c r="C15" s="46"/>
      <x:c r="D15" s="90" t="str">
        <x:f>IF(H15="Valid",C15/B15,"")</x:f>
      </x:c>
      <x:c r="E15" s="90" t="str">
        <x:f>IF(AND(H15="Valid",ISNUMBER($L$11),$L$11&gt;0,$L$11&lt;1),$L$11,"")</x:f>
      </x:c>
      <x:c r="F15" s="90" t="str">
        <x:f>IF(ISNUMBER(E15),MAX(0,E15-'01 Setup'!$B$15*SQRT(E15*(1-E15)/B15)),"")</x:f>
      </x:c>
      <x:c r="G15" s="90" t="str">
        <x:f>IF(ISNUMBER(E15),MIN(1,E15+'01 Setup'!$B$15*SQRT(E15*(1-E15)/B15)),"")</x:f>
      </x:c>
      <x:c r="H15" s="83" t="str">
        <x:f>IF(COUNTA(B15:C15)=0,"",IF(COUNT(B15:C15)&lt;2,"Complete n and d",IF(OR(B15&lt;=0,C15&lt;0,C15&gt;B15,MOD(B15,1)&lt;&gt;0,MOD(C15,1)&lt;&gt;0),"Invalid counts","Valid")))</x:f>
      </x:c>
      <x:c r="I15" s="83" t="str">
        <x:f>IF(H15="","",IF(H15&lt;&gt;"Valid","Fix counts",IF(NOT(ISNUMBER(E15)),"Review baseline",IF(OR(B15*E15&lt;5,B15*(1-E15)&lt;5),"Sparse expected counts - review",IF(OR(D15&lt;F15,D15&gt;G15),"Outside limit - investigate","No point beyond limits")))))</x:f>
      </x:c>
      <x:c r="J15" s="3"/>
      <x:c r="K15" s="3"/>
      <x:c r="L15" s="3"/>
      <x:c r="M15" s="3"/>
      <x:c r="N15" s="3"/>
      <x:c r="O15" s="3"/>
      <x:c r="P15" s="3"/>
      <x:c r="Q15" s="3"/>
      <x:c r="R15" s="3"/>
    </x:row>
    <x:row r="16" ht="34" customHeight="1">
      <x:c r="A16" s="46" t="n">
        <x:v>7</x:v>
      </x:c>
      <x:c r="B16" s="46"/>
      <x:c r="C16" s="46"/>
      <x:c r="D16" s="90" t="str">
        <x:f>IF(H16="Valid",C16/B16,"")</x:f>
      </x:c>
      <x:c r="E16" s="90" t="str">
        <x:f>IF(AND(H16="Valid",ISNUMBER($L$11),$L$11&gt;0,$L$11&lt;1),$L$11,"")</x:f>
      </x:c>
      <x:c r="F16" s="90" t="str">
        <x:f>IF(ISNUMBER(E16),MAX(0,E16-'01 Setup'!$B$15*SQRT(E16*(1-E16)/B16)),"")</x:f>
      </x:c>
      <x:c r="G16" s="90" t="str">
        <x:f>IF(ISNUMBER(E16),MIN(1,E16+'01 Setup'!$B$15*SQRT(E16*(1-E16)/B16)),"")</x:f>
      </x:c>
      <x:c r="H16" s="83" t="str">
        <x:f>IF(COUNTA(B16:C16)=0,"",IF(COUNT(B16:C16)&lt;2,"Complete n and d",IF(OR(B16&lt;=0,C16&lt;0,C16&gt;B16,MOD(B16,1)&lt;&gt;0,MOD(C16,1)&lt;&gt;0),"Invalid counts","Valid")))</x:f>
      </x:c>
      <x:c r="I16" s="83" t="str">
        <x:f>IF(H16="","",IF(H16&lt;&gt;"Valid","Fix counts",IF(NOT(ISNUMBER(E16)),"Review baseline",IF(OR(B16*E16&lt;5,B16*(1-E16)&lt;5),"Sparse expected counts - review",IF(OR(D16&lt;F16,D16&gt;G16),"Outside limit - investigate","No point beyond limits")))))</x:f>
      </x:c>
      <x:c r="J16" s="3"/>
      <x:c r="K16" s="3"/>
      <x:c r="L16" s="3"/>
      <x:c r="M16" s="3"/>
      <x:c r="N16" s="3"/>
      <x:c r="O16" s="3"/>
      <x:c r="P16" s="3"/>
      <x:c r="Q16" s="3"/>
      <x:c r="R16" s="3"/>
    </x:row>
    <x:row r="17" ht="34" customHeight="1">
      <x:c r="A17" s="46" t="n">
        <x:v>8</x:v>
      </x:c>
      <x:c r="B17" s="46"/>
      <x:c r="C17" s="46"/>
      <x:c r="D17" s="90" t="str">
        <x:f>IF(H17="Valid",C17/B17,"")</x:f>
      </x:c>
      <x:c r="E17" s="90" t="str">
        <x:f>IF(AND(H17="Valid",ISNUMBER($L$11),$L$11&gt;0,$L$11&lt;1),$L$11,"")</x:f>
      </x:c>
      <x:c r="F17" s="90" t="str">
        <x:f>IF(ISNUMBER(E17),MAX(0,E17-'01 Setup'!$B$15*SQRT(E17*(1-E17)/B17)),"")</x:f>
      </x:c>
      <x:c r="G17" s="90" t="str">
        <x:f>IF(ISNUMBER(E17),MIN(1,E17+'01 Setup'!$B$15*SQRT(E17*(1-E17)/B17)),"")</x:f>
      </x:c>
      <x:c r="H17" s="83" t="str">
        <x:f>IF(COUNTA(B17:C17)=0,"",IF(COUNT(B17:C17)&lt;2,"Complete n and d",IF(OR(B17&lt;=0,C17&lt;0,C17&gt;B17,MOD(B17,1)&lt;&gt;0,MOD(C17,1)&lt;&gt;0),"Invalid counts","Valid")))</x:f>
      </x:c>
      <x:c r="I17" s="83" t="str">
        <x:f>IF(H17="","",IF(H17&lt;&gt;"Valid","Fix counts",IF(NOT(ISNUMBER(E17)),"Review baseline",IF(OR(B17*E17&lt;5,B17*(1-E17)&lt;5),"Sparse expected counts - review",IF(OR(D17&lt;F17,D17&gt;G17),"Outside limit - investigate","No point beyond limits")))))</x:f>
      </x:c>
      <x:c r="J17" s="3"/>
      <x:c r="K17" s="3"/>
      <x:c r="L17" s="3"/>
      <x:c r="M17" s="3"/>
      <x:c r="N17" s="3"/>
      <x:c r="O17" s="3"/>
      <x:c r="P17" s="3"/>
      <x:c r="Q17" s="3"/>
      <x:c r="R17" s="3"/>
    </x:row>
    <x:row r="18" ht="34" customHeight="1">
      <x:c r="A18" s="46" t="n">
        <x:v>9</x:v>
      </x:c>
      <x:c r="B18" s="46"/>
      <x:c r="C18" s="46"/>
      <x:c r="D18" s="90" t="str">
        <x:f>IF(H18="Valid",C18/B18,"")</x:f>
      </x:c>
      <x:c r="E18" s="90" t="str">
        <x:f>IF(AND(H18="Valid",ISNUMBER($L$11),$L$11&gt;0,$L$11&lt;1),$L$11,"")</x:f>
      </x:c>
      <x:c r="F18" s="90" t="str">
        <x:f>IF(ISNUMBER(E18),MAX(0,E18-'01 Setup'!$B$15*SQRT(E18*(1-E18)/B18)),"")</x:f>
      </x:c>
      <x:c r="G18" s="90" t="str">
        <x:f>IF(ISNUMBER(E18),MIN(1,E18+'01 Setup'!$B$15*SQRT(E18*(1-E18)/B18)),"")</x:f>
      </x:c>
      <x:c r="H18" s="83" t="str">
        <x:f>IF(COUNTA(B18:C18)=0,"",IF(COUNT(B18:C18)&lt;2,"Complete n and d",IF(OR(B18&lt;=0,C18&lt;0,C18&gt;B18,MOD(B18,1)&lt;&gt;0,MOD(C18,1)&lt;&gt;0),"Invalid counts","Valid")))</x:f>
      </x:c>
      <x:c r="I18" s="83" t="str">
        <x:f>IF(H18="","",IF(H18&lt;&gt;"Valid","Fix counts",IF(NOT(ISNUMBER(E18)),"Review baseline",IF(OR(B18*E18&lt;5,B18*(1-E18)&lt;5),"Sparse expected counts - review",IF(OR(D18&lt;F18,D18&gt;G18),"Outside limit - investigate","No point beyond limits")))))</x:f>
      </x:c>
      <x:c r="J18" s="3"/>
      <x:c r="K18" s="3"/>
      <x:c r="L18" s="3"/>
      <x:c r="M18" s="3"/>
      <x:c r="N18" s="3"/>
      <x:c r="O18" s="3"/>
      <x:c r="P18" s="3"/>
      <x:c r="Q18" s="3"/>
      <x:c r="R18" s="3"/>
    </x:row>
    <x:row r="19" ht="34" customHeight="1">
      <x:c r="A19" s="46" t="n">
        <x:v>10</x:v>
      </x:c>
      <x:c r="B19" s="46"/>
      <x:c r="C19" s="46"/>
      <x:c r="D19" s="90" t="str">
        <x:f>IF(H19="Valid",C19/B19,"")</x:f>
      </x:c>
      <x:c r="E19" s="90" t="str">
        <x:f>IF(AND(H19="Valid",ISNUMBER($L$11),$L$11&gt;0,$L$11&lt;1),$L$11,"")</x:f>
      </x:c>
      <x:c r="F19" s="90" t="str">
        <x:f>IF(ISNUMBER(E19),MAX(0,E19-'01 Setup'!$B$15*SQRT(E19*(1-E19)/B19)),"")</x:f>
      </x:c>
      <x:c r="G19" s="90" t="str">
        <x:f>IF(ISNUMBER(E19),MIN(1,E19+'01 Setup'!$B$15*SQRT(E19*(1-E19)/B19)),"")</x:f>
      </x:c>
      <x:c r="H19" s="83" t="str">
        <x:f>IF(COUNTA(B19:C19)=0,"",IF(COUNT(B19:C19)&lt;2,"Complete n and d",IF(OR(B19&lt;=0,C19&lt;0,C19&gt;B19,MOD(B19,1)&lt;&gt;0,MOD(C19,1)&lt;&gt;0),"Invalid counts","Valid")))</x:f>
      </x:c>
      <x:c r="I19" s="83" t="str">
        <x:f>IF(H19="","",IF(H19&lt;&gt;"Valid","Fix counts",IF(NOT(ISNUMBER(E19)),"Review baseline",IF(OR(B19*E19&lt;5,B19*(1-E19)&lt;5),"Sparse expected counts - review",IF(OR(D19&lt;F19,D19&gt;G19),"Outside limit - investigate","No point beyond limits")))))</x:f>
      </x:c>
      <x:c r="J19" s="3"/>
      <x:c r="K19" s="3"/>
      <x:c r="L19" s="3"/>
      <x:c r="M19" s="3"/>
      <x:c r="N19" s="3"/>
      <x:c r="O19" s="3"/>
      <x:c r="P19" s="3"/>
      <x:c r="Q19" s="3"/>
      <x:c r="R19" s="3"/>
    </x:row>
    <x:row r="20" ht="34" customHeight="1">
      <x:c r="A20" s="46" t="n">
        <x:v>11</x:v>
      </x:c>
      <x:c r="B20" s="46"/>
      <x:c r="C20" s="46"/>
      <x:c r="D20" s="90" t="str">
        <x:f>IF(H20="Valid",C20/B20,"")</x:f>
      </x:c>
      <x:c r="E20" s="90" t="str">
        <x:f>IF(AND(H20="Valid",ISNUMBER($L$11),$L$11&gt;0,$L$11&lt;1),$L$11,"")</x:f>
      </x:c>
      <x:c r="F20" s="90" t="str">
        <x:f>IF(ISNUMBER(E20),MAX(0,E20-'01 Setup'!$B$15*SQRT(E20*(1-E20)/B20)),"")</x:f>
      </x:c>
      <x:c r="G20" s="90" t="str">
        <x:f>IF(ISNUMBER(E20),MIN(1,E20+'01 Setup'!$B$15*SQRT(E20*(1-E20)/B20)),"")</x:f>
      </x:c>
      <x:c r="H20" s="83" t="str">
        <x:f>IF(COUNTA(B20:C20)=0,"",IF(COUNT(B20:C20)&lt;2,"Complete n and d",IF(OR(B20&lt;=0,C20&lt;0,C20&gt;B20,MOD(B20,1)&lt;&gt;0,MOD(C20,1)&lt;&gt;0),"Invalid counts","Valid")))</x:f>
      </x:c>
      <x:c r="I20" s="83" t="str">
        <x:f>IF(H20="","",IF(H20&lt;&gt;"Valid","Fix counts",IF(NOT(ISNUMBER(E20)),"Review baseline",IF(OR(B20*E20&lt;5,B20*(1-E20)&lt;5),"Sparse expected counts - review",IF(OR(D20&lt;F20,D20&gt;G20),"Outside limit - investigate","No point beyond limits")))))</x:f>
      </x:c>
      <x:c r="J20" s="3"/>
      <x:c r="K20" s="3"/>
      <x:c r="L20" s="3"/>
      <x:c r="M20" s="3"/>
      <x:c r="N20" s="3"/>
      <x:c r="O20" s="3"/>
      <x:c r="P20" s="3"/>
      <x:c r="Q20" s="3"/>
      <x:c r="R20" s="3"/>
    </x:row>
    <x:row r="21" ht="34" customHeight="1">
      <x:c r="A21" s="46" t="n">
        <x:v>12</x:v>
      </x:c>
      <x:c r="B21" s="46"/>
      <x:c r="C21" s="46"/>
      <x:c r="D21" s="90" t="str">
        <x:f>IF(H21="Valid",C21/B21,"")</x:f>
      </x:c>
      <x:c r="E21" s="90" t="str">
        <x:f>IF(AND(H21="Valid",ISNUMBER($L$11),$L$11&gt;0,$L$11&lt;1),$L$11,"")</x:f>
      </x:c>
      <x:c r="F21" s="90" t="str">
        <x:f>IF(ISNUMBER(E21),MAX(0,E21-'01 Setup'!$B$15*SQRT(E21*(1-E21)/B21)),"")</x:f>
      </x:c>
      <x:c r="G21" s="90" t="str">
        <x:f>IF(ISNUMBER(E21),MIN(1,E21+'01 Setup'!$B$15*SQRT(E21*(1-E21)/B21)),"")</x:f>
      </x:c>
      <x:c r="H21" s="83" t="str">
        <x:f>IF(COUNTA(B21:C21)=0,"",IF(COUNT(B21:C21)&lt;2,"Complete n and d",IF(OR(B21&lt;=0,C21&lt;0,C21&gt;B21,MOD(B21,1)&lt;&gt;0,MOD(C21,1)&lt;&gt;0),"Invalid counts","Valid")))</x:f>
      </x:c>
      <x:c r="I21" s="83" t="str">
        <x:f>IF(H21="","",IF(H21&lt;&gt;"Valid","Fix counts",IF(NOT(ISNUMBER(E21)),"Review baseline",IF(OR(B21*E21&lt;5,B21*(1-E21)&lt;5),"Sparse expected counts - review",IF(OR(D21&lt;F21,D21&gt;G21),"Outside limit - investigate","No point beyond limits")))))</x:f>
      </x:c>
      <x:c r="J21" s="3"/>
      <x:c r="K21" s="3"/>
      <x:c r="L21" s="3"/>
      <x:c r="M21" s="3"/>
      <x:c r="N21" s="3"/>
      <x:c r="O21" s="3"/>
      <x:c r="P21" s="3"/>
      <x:c r="Q21" s="3"/>
      <x:c r="R21" s="3"/>
    </x:row>
    <x:row r="22" ht="34" customHeight="1">
      <x:c r="A22" s="46" t="n">
        <x:v>13</x:v>
      </x:c>
      <x:c r="B22" s="46"/>
      <x:c r="C22" s="46"/>
      <x:c r="D22" s="90" t="str">
        <x:f>IF(H22="Valid",C22/B22,"")</x:f>
      </x:c>
      <x:c r="E22" s="90" t="str">
        <x:f>IF(AND(H22="Valid",ISNUMBER($L$11),$L$11&gt;0,$L$11&lt;1),$L$11,"")</x:f>
      </x:c>
      <x:c r="F22" s="90" t="str">
        <x:f>IF(ISNUMBER(E22),MAX(0,E22-'01 Setup'!$B$15*SQRT(E22*(1-E22)/B22)),"")</x:f>
      </x:c>
      <x:c r="G22" s="90" t="str">
        <x:f>IF(ISNUMBER(E22),MIN(1,E22+'01 Setup'!$B$15*SQRT(E22*(1-E22)/B22)),"")</x:f>
      </x:c>
      <x:c r="H22" s="83" t="str">
        <x:f>IF(COUNTA(B22:C22)=0,"",IF(COUNT(B22:C22)&lt;2,"Complete n and d",IF(OR(B22&lt;=0,C22&lt;0,C22&gt;B22,MOD(B22,1)&lt;&gt;0,MOD(C22,1)&lt;&gt;0),"Invalid counts","Valid")))</x:f>
      </x:c>
      <x:c r="I22" s="83" t="str">
        <x:f>IF(H22="","",IF(H22&lt;&gt;"Valid","Fix counts",IF(NOT(ISNUMBER(E22)),"Review baseline",IF(OR(B22*E22&lt;5,B22*(1-E22)&lt;5),"Sparse expected counts - review",IF(OR(D22&lt;F22,D22&gt;G22),"Outside limit - investigate","No point beyond limits")))))</x:f>
      </x:c>
      <x:c r="J22" s="3"/>
      <x:c r="K22" s="3"/>
      <x:c r="L22" s="3"/>
      <x:c r="M22" s="3"/>
      <x:c r="N22" s="3"/>
      <x:c r="O22" s="3"/>
      <x:c r="P22" s="3"/>
      <x:c r="Q22" s="3"/>
      <x:c r="R22" s="3"/>
    </x:row>
    <x:row r="23" ht="34" customHeight="1">
      <x:c r="A23" s="46" t="n">
        <x:v>14</x:v>
      </x:c>
      <x:c r="B23" s="46"/>
      <x:c r="C23" s="46"/>
      <x:c r="D23" s="90" t="str">
        <x:f>IF(H23="Valid",C23/B23,"")</x:f>
      </x:c>
      <x:c r="E23" s="90" t="str">
        <x:f>IF(AND(H23="Valid",ISNUMBER($L$11),$L$11&gt;0,$L$11&lt;1),$L$11,"")</x:f>
      </x:c>
      <x:c r="F23" s="90" t="str">
        <x:f>IF(ISNUMBER(E23),MAX(0,E23-'01 Setup'!$B$15*SQRT(E23*(1-E23)/B23)),"")</x:f>
      </x:c>
      <x:c r="G23" s="90" t="str">
        <x:f>IF(ISNUMBER(E23),MIN(1,E23+'01 Setup'!$B$15*SQRT(E23*(1-E23)/B23)),"")</x:f>
      </x:c>
      <x:c r="H23" s="83" t="str">
        <x:f>IF(COUNTA(B23:C23)=0,"",IF(COUNT(B23:C23)&lt;2,"Complete n and d",IF(OR(B23&lt;=0,C23&lt;0,C23&gt;B23,MOD(B23,1)&lt;&gt;0,MOD(C23,1)&lt;&gt;0),"Invalid counts","Valid")))</x:f>
      </x:c>
      <x:c r="I23" s="83" t="str">
        <x:f>IF(H23="","",IF(H23&lt;&gt;"Valid","Fix counts",IF(NOT(ISNUMBER(E23)),"Review baseline",IF(OR(B23*E23&lt;5,B23*(1-E23)&lt;5),"Sparse expected counts - review",IF(OR(D23&lt;F23,D23&gt;G23),"Outside limit - investigate","No point beyond limits")))))</x:f>
      </x:c>
      <x:c r="J23" s="3"/>
      <x:c r="K23" s="3"/>
      <x:c r="L23" s="3"/>
      <x:c r="M23" s="3"/>
      <x:c r="N23" s="3"/>
      <x:c r="O23" s="3"/>
      <x:c r="P23" s="3"/>
      <x:c r="Q23" s="3"/>
      <x:c r="R23" s="3"/>
    </x:row>
    <x:row r="24" ht="34" customHeight="1">
      <x:c r="A24" s="46" t="n">
        <x:v>15</x:v>
      </x:c>
      <x:c r="B24" s="46"/>
      <x:c r="C24" s="46"/>
      <x:c r="D24" s="90" t="str">
        <x:f>IF(H24="Valid",C24/B24,"")</x:f>
      </x:c>
      <x:c r="E24" s="90" t="str">
        <x:f>IF(AND(H24="Valid",ISNUMBER($L$11),$L$11&gt;0,$L$11&lt;1),$L$11,"")</x:f>
      </x:c>
      <x:c r="F24" s="90" t="str">
        <x:f>IF(ISNUMBER(E24),MAX(0,E24-'01 Setup'!$B$15*SQRT(E24*(1-E24)/B24)),"")</x:f>
      </x:c>
      <x:c r="G24" s="90" t="str">
        <x:f>IF(ISNUMBER(E24),MIN(1,E24+'01 Setup'!$B$15*SQRT(E24*(1-E24)/B24)),"")</x:f>
      </x:c>
      <x:c r="H24" s="83" t="str">
        <x:f>IF(COUNTA(B24:C24)=0,"",IF(COUNT(B24:C24)&lt;2,"Complete n and d",IF(OR(B24&lt;=0,C24&lt;0,C24&gt;B24,MOD(B24,1)&lt;&gt;0,MOD(C24,1)&lt;&gt;0),"Invalid counts","Valid")))</x:f>
      </x:c>
      <x:c r="I24" s="83" t="str">
        <x:f>IF(H24="","",IF(H24&lt;&gt;"Valid","Fix counts",IF(NOT(ISNUMBER(E24)),"Review baseline",IF(OR(B24*E24&lt;5,B24*(1-E24)&lt;5),"Sparse expected counts - review",IF(OR(D24&lt;F24,D24&gt;G24),"Outside limit - investigate","No point beyond limits")))))</x:f>
      </x:c>
      <x:c r="J24" s="3"/>
      <x:c r="K24" s="3"/>
      <x:c r="L24" s="3"/>
      <x:c r="M24" s="3"/>
      <x:c r="N24" s="3"/>
      <x:c r="O24" s="3"/>
      <x:c r="P24" s="3"/>
      <x:c r="Q24" s="3"/>
      <x:c r="R24" s="3"/>
    </x:row>
    <x:row r="25" ht="34" customHeight="1">
      <x:c r="A25" s="46" t="n">
        <x:v>16</x:v>
      </x:c>
      <x:c r="B25" s="46"/>
      <x:c r="C25" s="46"/>
      <x:c r="D25" s="90" t="str">
        <x:f>IF(H25="Valid",C25/B25,"")</x:f>
      </x:c>
      <x:c r="E25" s="90" t="str">
        <x:f>IF(AND(H25="Valid",ISNUMBER($L$11),$L$11&gt;0,$L$11&lt;1),$L$11,"")</x:f>
      </x:c>
      <x:c r="F25" s="90" t="str">
        <x:f>IF(ISNUMBER(E25),MAX(0,E25-'01 Setup'!$B$15*SQRT(E25*(1-E25)/B25)),"")</x:f>
      </x:c>
      <x:c r="G25" s="90" t="str">
        <x:f>IF(ISNUMBER(E25),MIN(1,E25+'01 Setup'!$B$15*SQRT(E25*(1-E25)/B25)),"")</x:f>
      </x:c>
      <x:c r="H25" s="83" t="str">
        <x:f>IF(COUNTA(B25:C25)=0,"",IF(COUNT(B25:C25)&lt;2,"Complete n and d",IF(OR(B25&lt;=0,C25&lt;0,C25&gt;B25,MOD(B25,1)&lt;&gt;0,MOD(C25,1)&lt;&gt;0),"Invalid counts","Valid")))</x:f>
      </x:c>
      <x:c r="I25" s="83" t="str">
        <x:f>IF(H25="","",IF(H25&lt;&gt;"Valid","Fix counts",IF(NOT(ISNUMBER(E25)),"Review baseline",IF(OR(B25*E25&lt;5,B25*(1-E25)&lt;5),"Sparse expected counts - review",IF(OR(D25&lt;F25,D25&gt;G25),"Outside limit - investigate","No point beyond limits")))))</x:f>
      </x:c>
      <x:c r="J25" s="3"/>
      <x:c r="K25" s="3"/>
      <x:c r="L25" s="3"/>
      <x:c r="M25" s="3"/>
      <x:c r="N25" s="3"/>
      <x:c r="O25" s="3"/>
      <x:c r="P25" s="3"/>
      <x:c r="Q25" s="3"/>
      <x:c r="R25" s="3"/>
    </x:row>
    <x:row r="26" ht="34" customHeight="1">
      <x:c r="A26" s="46" t="n">
        <x:v>17</x:v>
      </x:c>
      <x:c r="B26" s="46"/>
      <x:c r="C26" s="46"/>
      <x:c r="D26" s="90" t="str">
        <x:f>IF(H26="Valid",C26/B26,"")</x:f>
      </x:c>
      <x:c r="E26" s="90" t="str">
        <x:f>IF(AND(H26="Valid",ISNUMBER($L$11),$L$11&gt;0,$L$11&lt;1),$L$11,"")</x:f>
      </x:c>
      <x:c r="F26" s="90" t="str">
        <x:f>IF(ISNUMBER(E26),MAX(0,E26-'01 Setup'!$B$15*SQRT(E26*(1-E26)/B26)),"")</x:f>
      </x:c>
      <x:c r="G26" s="90" t="str">
        <x:f>IF(ISNUMBER(E26),MIN(1,E26+'01 Setup'!$B$15*SQRT(E26*(1-E26)/B26)),"")</x:f>
      </x:c>
      <x:c r="H26" s="83" t="str">
        <x:f>IF(COUNTA(B26:C26)=0,"",IF(COUNT(B26:C26)&lt;2,"Complete n and d",IF(OR(B26&lt;=0,C26&lt;0,C26&gt;B26,MOD(B26,1)&lt;&gt;0,MOD(C26,1)&lt;&gt;0),"Invalid counts","Valid")))</x:f>
      </x:c>
      <x:c r="I26" s="83" t="str">
        <x:f>IF(H26="","",IF(H26&lt;&gt;"Valid","Fix counts",IF(NOT(ISNUMBER(E26)),"Review baseline",IF(OR(B26*E26&lt;5,B26*(1-E26)&lt;5),"Sparse expected counts - review",IF(OR(D26&lt;F26,D26&gt;G26),"Outside limit - investigate","No point beyond limits")))))</x:f>
      </x:c>
      <x:c r="J26" s="3"/>
      <x:c r="K26" s="3"/>
      <x:c r="L26" s="3"/>
      <x:c r="M26" s="3"/>
      <x:c r="N26" s="3"/>
      <x:c r="O26" s="3"/>
      <x:c r="P26" s="3"/>
      <x:c r="Q26" s="3"/>
      <x:c r="R26" s="3"/>
    </x:row>
    <x:row r="27" ht="34" customHeight="1">
      <x:c r="A27" s="46" t="n">
        <x:v>18</x:v>
      </x:c>
      <x:c r="B27" s="46"/>
      <x:c r="C27" s="46"/>
      <x:c r="D27" s="90" t="str">
        <x:f>IF(H27="Valid",C27/B27,"")</x:f>
      </x:c>
      <x:c r="E27" s="90" t="str">
        <x:f>IF(AND(H27="Valid",ISNUMBER($L$11),$L$11&gt;0,$L$11&lt;1),$L$11,"")</x:f>
      </x:c>
      <x:c r="F27" s="90" t="str">
        <x:f>IF(ISNUMBER(E27),MAX(0,E27-'01 Setup'!$B$15*SQRT(E27*(1-E27)/B27)),"")</x:f>
      </x:c>
      <x:c r="G27" s="90" t="str">
        <x:f>IF(ISNUMBER(E27),MIN(1,E27+'01 Setup'!$B$15*SQRT(E27*(1-E27)/B27)),"")</x:f>
      </x:c>
      <x:c r="H27" s="83" t="str">
        <x:f>IF(COUNTA(B27:C27)=0,"",IF(COUNT(B27:C27)&lt;2,"Complete n and d",IF(OR(B27&lt;=0,C27&lt;0,C27&gt;B27,MOD(B27,1)&lt;&gt;0,MOD(C27,1)&lt;&gt;0),"Invalid counts","Valid")))</x:f>
      </x:c>
      <x:c r="I27" s="83" t="str">
        <x:f>IF(H27="","",IF(H27&lt;&gt;"Valid","Fix counts",IF(NOT(ISNUMBER(E27)),"Review baseline",IF(OR(B27*E27&lt;5,B27*(1-E27)&lt;5),"Sparse expected counts - review",IF(OR(D27&lt;F27,D27&gt;G27),"Outside limit - investigate","No point beyond limits")))))</x:f>
      </x:c>
      <x:c r="J27" s="3"/>
      <x:c r="K27" s="3"/>
      <x:c r="L27" s="3"/>
      <x:c r="M27" s="3"/>
      <x:c r="N27" s="3"/>
      <x:c r="O27" s="3"/>
      <x:c r="P27" s="3"/>
      <x:c r="Q27" s="3"/>
      <x:c r="R27" s="3"/>
    </x:row>
    <x:row r="28" ht="34" customHeight="1">
      <x:c r="A28" s="46" t="n">
        <x:v>19</x:v>
      </x:c>
      <x:c r="B28" s="46"/>
      <x:c r="C28" s="46"/>
      <x:c r="D28" s="90" t="str">
        <x:f>IF(H28="Valid",C28/B28,"")</x:f>
      </x:c>
      <x:c r="E28" s="90" t="str">
        <x:f>IF(AND(H28="Valid",ISNUMBER($L$11),$L$11&gt;0,$L$11&lt;1),$L$11,"")</x:f>
      </x:c>
      <x:c r="F28" s="90" t="str">
        <x:f>IF(ISNUMBER(E28),MAX(0,E28-'01 Setup'!$B$15*SQRT(E28*(1-E28)/B28)),"")</x:f>
      </x:c>
      <x:c r="G28" s="90" t="str">
        <x:f>IF(ISNUMBER(E28),MIN(1,E28+'01 Setup'!$B$15*SQRT(E28*(1-E28)/B28)),"")</x:f>
      </x:c>
      <x:c r="H28" s="83" t="str">
        <x:f>IF(COUNTA(B28:C28)=0,"",IF(COUNT(B28:C28)&lt;2,"Complete n and d",IF(OR(B28&lt;=0,C28&lt;0,C28&gt;B28,MOD(B28,1)&lt;&gt;0,MOD(C28,1)&lt;&gt;0),"Invalid counts","Valid")))</x:f>
      </x:c>
      <x:c r="I28" s="83" t="str">
        <x:f>IF(H28="","",IF(H28&lt;&gt;"Valid","Fix counts",IF(NOT(ISNUMBER(E28)),"Review baseline",IF(OR(B28*E28&lt;5,B28*(1-E28)&lt;5),"Sparse expected counts - review",IF(OR(D28&lt;F28,D28&gt;G28),"Outside limit - investigate","No point beyond limits")))))</x:f>
      </x:c>
      <x:c r="J28" s="3"/>
      <x:c r="K28" s="3"/>
      <x:c r="L28" s="3"/>
      <x:c r="M28" s="3"/>
      <x:c r="N28" s="3"/>
      <x:c r="O28" s="3"/>
      <x:c r="P28" s="3"/>
      <x:c r="Q28" s="3"/>
      <x:c r="R28" s="3"/>
    </x:row>
    <x:row r="29" ht="34" customHeight="1">
      <x:c r="A29" s="46" t="n">
        <x:v>20</x:v>
      </x:c>
      <x:c r="B29" s="46"/>
      <x:c r="C29" s="46"/>
      <x:c r="D29" s="90" t="str">
        <x:f>IF(H29="Valid",C29/B29,"")</x:f>
      </x:c>
      <x:c r="E29" s="90" t="str">
        <x:f>IF(AND(H29="Valid",ISNUMBER($L$11),$L$11&gt;0,$L$11&lt;1),$L$11,"")</x:f>
      </x:c>
      <x:c r="F29" s="90" t="str">
        <x:f>IF(ISNUMBER(E29),MAX(0,E29-'01 Setup'!$B$15*SQRT(E29*(1-E29)/B29)),"")</x:f>
      </x:c>
      <x:c r="G29" s="90" t="str">
        <x:f>IF(ISNUMBER(E29),MIN(1,E29+'01 Setup'!$B$15*SQRT(E29*(1-E29)/B29)),"")</x:f>
      </x:c>
      <x:c r="H29" s="83" t="str">
        <x:f>IF(COUNTA(B29:C29)=0,"",IF(COUNT(B29:C29)&lt;2,"Complete n and d",IF(OR(B29&lt;=0,C29&lt;0,C29&gt;B29,MOD(B29,1)&lt;&gt;0,MOD(C29,1)&lt;&gt;0),"Invalid counts","Valid")))</x:f>
      </x:c>
      <x:c r="I29" s="83" t="str">
        <x:f>IF(H29="","",IF(H29&lt;&gt;"Valid","Fix counts",IF(NOT(ISNUMBER(E29)),"Review baseline",IF(OR(B29*E29&lt;5,B29*(1-E29)&lt;5),"Sparse expected counts - review",IF(OR(D29&lt;F29,D29&gt;G29),"Outside limit - investigate","No point beyond limits")))))</x:f>
      </x:c>
      <x:c r="J29" s="3"/>
      <x:c r="K29" s="3"/>
      <x:c r="L29" s="3"/>
      <x:c r="M29" s="3"/>
      <x:c r="N29" s="3"/>
      <x:c r="O29" s="3"/>
      <x:c r="P29" s="3"/>
      <x:c r="Q29" s="3"/>
      <x:c r="R29" s="3"/>
    </x:row>
    <x:row r="30" ht="34" customHeight="1">
      <x:c r="A30" s="46" t="n">
        <x:v>21</x:v>
      </x:c>
      <x:c r="B30" s="46"/>
      <x:c r="C30" s="46"/>
      <x:c r="D30" s="90" t="str">
        <x:f>IF(H30="Valid",C30/B30,"")</x:f>
      </x:c>
      <x:c r="E30" s="90" t="str">
        <x:f>IF(AND(H30="Valid",ISNUMBER($L$11),$L$11&gt;0,$L$11&lt;1),$L$11,"")</x:f>
      </x:c>
      <x:c r="F30" s="90" t="str">
        <x:f>IF(ISNUMBER(E30),MAX(0,E30-'01 Setup'!$B$15*SQRT(E30*(1-E30)/B30)),"")</x:f>
      </x:c>
      <x:c r="G30" s="90" t="str">
        <x:f>IF(ISNUMBER(E30),MIN(1,E30+'01 Setup'!$B$15*SQRT(E30*(1-E30)/B30)),"")</x:f>
      </x:c>
      <x:c r="H30" s="83" t="str">
        <x:f>IF(COUNTA(B30:C30)=0,"",IF(COUNT(B30:C30)&lt;2,"Complete n and d",IF(OR(B30&lt;=0,C30&lt;0,C30&gt;B30,MOD(B30,1)&lt;&gt;0,MOD(C30,1)&lt;&gt;0),"Invalid counts","Valid")))</x:f>
      </x:c>
      <x:c r="I30" s="83" t="str">
        <x:f>IF(H30="","",IF(H30&lt;&gt;"Valid","Fix counts",IF(NOT(ISNUMBER(E30)),"Review baseline",IF(OR(B30*E30&lt;5,B30*(1-E30)&lt;5),"Sparse expected counts - review",IF(OR(D30&lt;F30,D30&gt;G30),"Outside limit - investigate","No point beyond limits")))))</x:f>
      </x:c>
      <x:c r="J30" s="3"/>
      <x:c r="K30" s="3"/>
      <x:c r="L30" s="3"/>
      <x:c r="M30" s="3"/>
      <x:c r="N30" s="3"/>
      <x:c r="O30" s="3"/>
      <x:c r="P30" s="3"/>
      <x:c r="Q30" s="3"/>
      <x:c r="R30" s="3"/>
    </x:row>
    <x:row r="31" ht="34" customHeight="1">
      <x:c r="A31" s="46" t="n">
        <x:v>22</x:v>
      </x:c>
      <x:c r="B31" s="46"/>
      <x:c r="C31" s="46"/>
      <x:c r="D31" s="90" t="str">
        <x:f>IF(H31="Valid",C31/B31,"")</x:f>
      </x:c>
      <x:c r="E31" s="90" t="str">
        <x:f>IF(AND(H31="Valid",ISNUMBER($L$11),$L$11&gt;0,$L$11&lt;1),$L$11,"")</x:f>
      </x:c>
      <x:c r="F31" s="90" t="str">
        <x:f>IF(ISNUMBER(E31),MAX(0,E31-'01 Setup'!$B$15*SQRT(E31*(1-E31)/B31)),"")</x:f>
      </x:c>
      <x:c r="G31" s="90" t="str">
        <x:f>IF(ISNUMBER(E31),MIN(1,E31+'01 Setup'!$B$15*SQRT(E31*(1-E31)/B31)),"")</x:f>
      </x:c>
      <x:c r="H31" s="83" t="str">
        <x:f>IF(COUNTA(B31:C31)=0,"",IF(COUNT(B31:C31)&lt;2,"Complete n and d",IF(OR(B31&lt;=0,C31&lt;0,C31&gt;B31,MOD(B31,1)&lt;&gt;0,MOD(C31,1)&lt;&gt;0),"Invalid counts","Valid")))</x:f>
      </x:c>
      <x:c r="I31" s="83" t="str">
        <x:f>IF(H31="","",IF(H31&lt;&gt;"Valid","Fix counts",IF(NOT(ISNUMBER(E31)),"Review baseline",IF(OR(B31*E31&lt;5,B31*(1-E31)&lt;5),"Sparse expected counts - review",IF(OR(D31&lt;F31,D31&gt;G31),"Outside limit - investigate","No point beyond limits")))))</x:f>
      </x:c>
      <x:c r="J31" s="3"/>
      <x:c r="K31" s="3"/>
      <x:c r="L31" s="3"/>
      <x:c r="M31" s="3"/>
      <x:c r="N31" s="3"/>
      <x:c r="O31" s="3"/>
      <x:c r="P31" s="3"/>
      <x:c r="Q31" s="3"/>
      <x:c r="R31" s="3"/>
    </x:row>
    <x:row r="32" ht="34" customHeight="1">
      <x:c r="A32" s="46" t="n">
        <x:v>23</x:v>
      </x:c>
      <x:c r="B32" s="46"/>
      <x:c r="C32" s="46"/>
      <x:c r="D32" s="90" t="str">
        <x:f>IF(H32="Valid",C32/B32,"")</x:f>
      </x:c>
      <x:c r="E32" s="90" t="str">
        <x:f>IF(AND(H32="Valid",ISNUMBER($L$11),$L$11&gt;0,$L$11&lt;1),$L$11,"")</x:f>
      </x:c>
      <x:c r="F32" s="90" t="str">
        <x:f>IF(ISNUMBER(E32),MAX(0,E32-'01 Setup'!$B$15*SQRT(E32*(1-E32)/B32)),"")</x:f>
      </x:c>
      <x:c r="G32" s="90" t="str">
        <x:f>IF(ISNUMBER(E32),MIN(1,E32+'01 Setup'!$B$15*SQRT(E32*(1-E32)/B32)),"")</x:f>
      </x:c>
      <x:c r="H32" s="83" t="str">
        <x:f>IF(COUNTA(B32:C32)=0,"",IF(COUNT(B32:C32)&lt;2,"Complete n and d",IF(OR(B32&lt;=0,C32&lt;0,C32&gt;B32,MOD(B32,1)&lt;&gt;0,MOD(C32,1)&lt;&gt;0),"Invalid counts","Valid")))</x:f>
      </x:c>
      <x:c r="I32" s="83" t="str">
        <x:f>IF(H32="","",IF(H32&lt;&gt;"Valid","Fix counts",IF(NOT(ISNUMBER(E32)),"Review baseline",IF(OR(B32*E32&lt;5,B32*(1-E32)&lt;5),"Sparse expected counts - review",IF(OR(D32&lt;F32,D32&gt;G32),"Outside limit - investigate","No point beyond limits")))))</x:f>
      </x:c>
      <x:c r="J32" s="3"/>
      <x:c r="K32" s="3"/>
      <x:c r="L32" s="3"/>
      <x:c r="M32" s="3"/>
      <x:c r="N32" s="3"/>
      <x:c r="O32" s="3"/>
      <x:c r="P32" s="3"/>
      <x:c r="Q32" s="3"/>
      <x:c r="R32" s="3"/>
    </x:row>
    <x:row r="33" ht="34" customHeight="1">
      <x:c r="A33" s="46" t="n">
        <x:v>24</x:v>
      </x:c>
      <x:c r="B33" s="46"/>
      <x:c r="C33" s="46"/>
      <x:c r="D33" s="90" t="str">
        <x:f>IF(H33="Valid",C33/B33,"")</x:f>
      </x:c>
      <x:c r="E33" s="90" t="str">
        <x:f>IF(AND(H33="Valid",ISNUMBER($L$11),$L$11&gt;0,$L$11&lt;1),$L$11,"")</x:f>
      </x:c>
      <x:c r="F33" s="90" t="str">
        <x:f>IF(ISNUMBER(E33),MAX(0,E33-'01 Setup'!$B$15*SQRT(E33*(1-E33)/B33)),"")</x:f>
      </x:c>
      <x:c r="G33" s="90" t="str">
        <x:f>IF(ISNUMBER(E33),MIN(1,E33+'01 Setup'!$B$15*SQRT(E33*(1-E33)/B33)),"")</x:f>
      </x:c>
      <x:c r="H33" s="83" t="str">
        <x:f>IF(COUNTA(B33:C33)=0,"",IF(COUNT(B33:C33)&lt;2,"Complete n and d",IF(OR(B33&lt;=0,C33&lt;0,C33&gt;B33,MOD(B33,1)&lt;&gt;0,MOD(C33,1)&lt;&gt;0),"Invalid counts","Valid")))</x:f>
      </x:c>
      <x:c r="I33" s="83" t="str">
        <x:f>IF(H33="","",IF(H33&lt;&gt;"Valid","Fix counts",IF(NOT(ISNUMBER(E33)),"Review baseline",IF(OR(B33*E33&lt;5,B33*(1-E33)&lt;5),"Sparse expected counts - review",IF(OR(D33&lt;F33,D33&gt;G33),"Outside limit - investigate","No point beyond limits")))))</x:f>
      </x:c>
      <x:c r="J33" s="3"/>
      <x:c r="K33" s="3"/>
      <x:c r="L33" s="3"/>
      <x:c r="M33" s="3"/>
      <x:c r="N33" s="3"/>
      <x:c r="O33" s="3"/>
      <x:c r="P33" s="3"/>
      <x:c r="Q33" s="3"/>
      <x:c r="R33" s="3"/>
    </x:row>
    <x:row r="34" ht="34" customHeight="1">
      <x:c r="A34" s="46" t="n">
        <x:v>25</x:v>
      </x:c>
      <x:c r="B34" s="46"/>
      <x:c r="C34" s="46"/>
      <x:c r="D34" s="90" t="str">
        <x:f>IF(H34="Valid",C34/B34,"")</x:f>
      </x:c>
      <x:c r="E34" s="90" t="str">
        <x:f>IF(AND(H34="Valid",ISNUMBER($L$11),$L$11&gt;0,$L$11&lt;1),$L$11,"")</x:f>
      </x:c>
      <x:c r="F34" s="90" t="str">
        <x:f>IF(ISNUMBER(E34),MAX(0,E34-'01 Setup'!$B$15*SQRT(E34*(1-E34)/B34)),"")</x:f>
      </x:c>
      <x:c r="G34" s="90" t="str">
        <x:f>IF(ISNUMBER(E34),MIN(1,E34+'01 Setup'!$B$15*SQRT(E34*(1-E34)/B34)),"")</x:f>
      </x:c>
      <x:c r="H34" s="83" t="str">
        <x:f>IF(COUNTA(B34:C34)=0,"",IF(COUNT(B34:C34)&lt;2,"Complete n and d",IF(OR(B34&lt;=0,C34&lt;0,C34&gt;B34,MOD(B34,1)&lt;&gt;0,MOD(C34,1)&lt;&gt;0),"Invalid counts","Valid")))</x:f>
      </x:c>
      <x:c r="I34" s="83" t="str">
        <x:f>IF(H34="","",IF(H34&lt;&gt;"Valid","Fix counts",IF(NOT(ISNUMBER(E34)),"Review baseline",IF(OR(B34*E34&lt;5,B34*(1-E34)&lt;5),"Sparse expected counts - review",IF(OR(D34&lt;F34,D34&gt;G34),"Outside limit - investigate","No point beyond limits")))))</x:f>
      </x:c>
      <x:c r="J34" s="3"/>
      <x:c r="K34" s="3"/>
      <x:c r="L34" s="3"/>
      <x:c r="M34" s="3"/>
      <x:c r="N34" s="3"/>
      <x:c r="O34" s="3"/>
      <x:c r="P34" s="3"/>
      <x:c r="Q34" s="3"/>
      <x:c r="R34" s="3"/>
    </x:row>
    <x:row r="35" ht="34" customHeight="1">
      <x:c r="A35" s="46" t="n">
        <x:v>26</x:v>
      </x:c>
      <x:c r="B35" s="46"/>
      <x:c r="C35" s="46"/>
      <x:c r="D35" s="90" t="str">
        <x:f>IF(H35="Valid",C35/B35,"")</x:f>
      </x:c>
      <x:c r="E35" s="90" t="str">
        <x:f>IF(AND(H35="Valid",ISNUMBER($L$11),$L$11&gt;0,$L$11&lt;1),$L$11,"")</x:f>
      </x:c>
      <x:c r="F35" s="90" t="str">
        <x:f>IF(ISNUMBER(E35),MAX(0,E35-'01 Setup'!$B$15*SQRT(E35*(1-E35)/B35)),"")</x:f>
      </x:c>
      <x:c r="G35" s="90" t="str">
        <x:f>IF(ISNUMBER(E35),MIN(1,E35+'01 Setup'!$B$15*SQRT(E35*(1-E35)/B35)),"")</x:f>
      </x:c>
      <x:c r="H35" s="83" t="str">
        <x:f>IF(COUNTA(B35:C35)=0,"",IF(COUNT(B35:C35)&lt;2,"Complete n and d",IF(OR(B35&lt;=0,C35&lt;0,C35&gt;B35,MOD(B35,1)&lt;&gt;0,MOD(C35,1)&lt;&gt;0),"Invalid counts","Valid")))</x:f>
      </x:c>
      <x:c r="I35" s="83" t="str">
        <x:f>IF(H35="","",IF(H35&lt;&gt;"Valid","Fix counts",IF(NOT(ISNUMBER(E35)),"Review baseline",IF(OR(B35*E35&lt;5,B35*(1-E35)&lt;5),"Sparse expected counts - review",IF(OR(D35&lt;F35,D35&gt;G35),"Outside limit - investigate","No point beyond limits")))))</x:f>
      </x:c>
      <x:c r="J35" s="3"/>
      <x:c r="K35" s="3"/>
      <x:c r="L35" s="3"/>
      <x:c r="M35" s="3"/>
      <x:c r="N35" s="3"/>
      <x:c r="O35" s="3"/>
      <x:c r="P35" s="3"/>
      <x:c r="Q35" s="3"/>
      <x:c r="R35" s="3"/>
    </x:row>
    <x:row r="36" ht="34" customHeight="1">
      <x:c r="A36" s="46" t="n">
        <x:v>27</x:v>
      </x:c>
      <x:c r="B36" s="46"/>
      <x:c r="C36" s="46"/>
      <x:c r="D36" s="90" t="str">
        <x:f>IF(H36="Valid",C36/B36,"")</x:f>
      </x:c>
      <x:c r="E36" s="90" t="str">
        <x:f>IF(AND(H36="Valid",ISNUMBER($L$11),$L$11&gt;0,$L$11&lt;1),$L$11,"")</x:f>
      </x:c>
      <x:c r="F36" s="90" t="str">
        <x:f>IF(ISNUMBER(E36),MAX(0,E36-'01 Setup'!$B$15*SQRT(E36*(1-E36)/B36)),"")</x:f>
      </x:c>
      <x:c r="G36" s="90" t="str">
        <x:f>IF(ISNUMBER(E36),MIN(1,E36+'01 Setup'!$B$15*SQRT(E36*(1-E36)/B36)),"")</x:f>
      </x:c>
      <x:c r="H36" s="83" t="str">
        <x:f>IF(COUNTA(B36:C36)=0,"",IF(COUNT(B36:C36)&lt;2,"Complete n and d",IF(OR(B36&lt;=0,C36&lt;0,C36&gt;B36,MOD(B36,1)&lt;&gt;0,MOD(C36,1)&lt;&gt;0),"Invalid counts","Valid")))</x:f>
      </x:c>
      <x:c r="I36" s="83" t="str">
        <x:f>IF(H36="","",IF(H36&lt;&gt;"Valid","Fix counts",IF(NOT(ISNUMBER(E36)),"Review baseline",IF(OR(B36*E36&lt;5,B36*(1-E36)&lt;5),"Sparse expected counts - review",IF(OR(D36&lt;F36,D36&gt;G36),"Outside limit - investigate","No point beyond limits")))))</x:f>
      </x:c>
      <x:c r="J36" s="3"/>
      <x:c r="K36" s="3"/>
      <x:c r="L36" s="3"/>
      <x:c r="M36" s="3"/>
      <x:c r="N36" s="3"/>
      <x:c r="O36" s="3"/>
      <x:c r="P36" s="3"/>
      <x:c r="Q36" s="3"/>
      <x:c r="R36" s="3"/>
    </x:row>
    <x:row r="37" ht="34" customHeight="1">
      <x:c r="A37" s="46" t="n">
        <x:v>28</x:v>
      </x:c>
      <x:c r="B37" s="46"/>
      <x:c r="C37" s="46"/>
      <x:c r="D37" s="90" t="str">
        <x:f>IF(H37="Valid",C37/B37,"")</x:f>
      </x:c>
      <x:c r="E37" s="90" t="str">
        <x:f>IF(AND(H37="Valid",ISNUMBER($L$11),$L$11&gt;0,$L$11&lt;1),$L$11,"")</x:f>
      </x:c>
      <x:c r="F37" s="90" t="str">
        <x:f>IF(ISNUMBER(E37),MAX(0,E37-'01 Setup'!$B$15*SQRT(E37*(1-E37)/B37)),"")</x:f>
      </x:c>
      <x:c r="G37" s="90" t="str">
        <x:f>IF(ISNUMBER(E37),MIN(1,E37+'01 Setup'!$B$15*SQRT(E37*(1-E37)/B37)),"")</x:f>
      </x:c>
      <x:c r="H37" s="83" t="str">
        <x:f>IF(COUNTA(B37:C37)=0,"",IF(COUNT(B37:C37)&lt;2,"Complete n and d",IF(OR(B37&lt;=0,C37&lt;0,C37&gt;B37,MOD(B37,1)&lt;&gt;0,MOD(C37,1)&lt;&gt;0),"Invalid counts","Valid")))</x:f>
      </x:c>
      <x:c r="I37" s="83" t="str">
        <x:f>IF(H37="","",IF(H37&lt;&gt;"Valid","Fix counts",IF(NOT(ISNUMBER(E37)),"Review baseline",IF(OR(B37*E37&lt;5,B37*(1-E37)&lt;5),"Sparse expected counts - review",IF(OR(D37&lt;F37,D37&gt;G37),"Outside limit - investigate","No point beyond limits")))))</x:f>
      </x:c>
      <x:c r="J37" s="3"/>
      <x:c r="K37" s="3"/>
      <x:c r="L37" s="3"/>
      <x:c r="M37" s="3"/>
      <x:c r="N37" s="3"/>
      <x:c r="O37" s="3"/>
      <x:c r="P37" s="3"/>
      <x:c r="Q37" s="3"/>
      <x:c r="R37" s="3"/>
    </x:row>
    <x:row r="38" ht="34" customHeight="1">
      <x:c r="A38" s="46" t="n">
        <x:v>29</x:v>
      </x:c>
      <x:c r="B38" s="46"/>
      <x:c r="C38" s="46"/>
      <x:c r="D38" s="90" t="str">
        <x:f>IF(H38="Valid",C38/B38,"")</x:f>
      </x:c>
      <x:c r="E38" s="90" t="str">
        <x:f>IF(AND(H38="Valid",ISNUMBER($L$11),$L$11&gt;0,$L$11&lt;1),$L$11,"")</x:f>
      </x:c>
      <x:c r="F38" s="90" t="str">
        <x:f>IF(ISNUMBER(E38),MAX(0,E38-'01 Setup'!$B$15*SQRT(E38*(1-E38)/B38)),"")</x:f>
      </x:c>
      <x:c r="G38" s="90" t="str">
        <x:f>IF(ISNUMBER(E38),MIN(1,E38+'01 Setup'!$B$15*SQRT(E38*(1-E38)/B38)),"")</x:f>
      </x:c>
      <x:c r="H38" s="83" t="str">
        <x:f>IF(COUNTA(B38:C38)=0,"",IF(COUNT(B38:C38)&lt;2,"Complete n and d",IF(OR(B38&lt;=0,C38&lt;0,C38&gt;B38,MOD(B38,1)&lt;&gt;0,MOD(C38,1)&lt;&gt;0),"Invalid counts","Valid")))</x:f>
      </x:c>
      <x:c r="I38" s="83" t="str">
        <x:f>IF(H38="","",IF(H38&lt;&gt;"Valid","Fix counts",IF(NOT(ISNUMBER(E38)),"Review baseline",IF(OR(B38*E38&lt;5,B38*(1-E38)&lt;5),"Sparse expected counts - review",IF(OR(D38&lt;F38,D38&gt;G38),"Outside limit - investigate","No point beyond limits")))))</x:f>
      </x:c>
      <x:c r="J38" s="3"/>
      <x:c r="K38" s="3"/>
      <x:c r="L38" s="3"/>
      <x:c r="M38" s="3"/>
      <x:c r="N38" s="3"/>
      <x:c r="O38" s="3"/>
      <x:c r="P38" s="3"/>
      <x:c r="Q38" s="3"/>
      <x:c r="R38" s="3"/>
    </x:row>
    <x:row r="39" ht="34" customHeight="1">
      <x:c r="A39" s="46" t="n">
        <x:v>30</x:v>
      </x:c>
      <x:c r="B39" s="46"/>
      <x:c r="C39" s="46"/>
      <x:c r="D39" s="90" t="str">
        <x:f>IF(H39="Valid",C39/B39,"")</x:f>
      </x:c>
      <x:c r="E39" s="90" t="str">
        <x:f>IF(AND(H39="Valid",ISNUMBER($L$11),$L$11&gt;0,$L$11&lt;1),$L$11,"")</x:f>
      </x:c>
      <x:c r="F39" s="90" t="str">
        <x:f>IF(ISNUMBER(E39),MAX(0,E39-'01 Setup'!$B$15*SQRT(E39*(1-E39)/B39)),"")</x:f>
      </x:c>
      <x:c r="G39" s="90" t="str">
        <x:f>IF(ISNUMBER(E39),MIN(1,E39+'01 Setup'!$B$15*SQRT(E39*(1-E39)/B39)),"")</x:f>
      </x:c>
      <x:c r="H39" s="83" t="str">
        <x:f>IF(COUNTA(B39:C39)=0,"",IF(COUNT(B39:C39)&lt;2,"Complete n and d",IF(OR(B39&lt;=0,C39&lt;0,C39&gt;B39,MOD(B39,1)&lt;&gt;0,MOD(C39,1)&lt;&gt;0),"Invalid counts","Valid")))</x:f>
      </x:c>
      <x:c r="I39" s="83" t="str">
        <x:f>IF(H39="","",IF(H39&lt;&gt;"Valid","Fix counts",IF(NOT(ISNUMBER(E39)),"Review baseline",IF(OR(B39*E39&lt;5,B39*(1-E39)&lt;5),"Sparse expected counts - review",IF(OR(D39&lt;F39,D39&gt;G39),"Outside limit - investigate","No point beyond limits")))))</x:f>
      </x:c>
      <x:c r="J39" s="3"/>
      <x:c r="K39" s="3"/>
      <x:c r="L39" s="3"/>
      <x:c r="M39" s="3"/>
      <x:c r="N39" s="3"/>
      <x:c r="O39" s="3"/>
      <x:c r="P39" s="3"/>
      <x:c r="Q39" s="3"/>
      <x:c r="R39" s="3"/>
    </x:row>
    <x:row r="40" ht="34" customHeight="1">
      <x:c r="A40" s="46" t="n">
        <x:v>31</x:v>
      </x:c>
      <x:c r="B40" s="46"/>
      <x:c r="C40" s="46"/>
      <x:c r="D40" s="90" t="str">
        <x:f>IF(H40="Valid",C40/B40,"")</x:f>
      </x:c>
      <x:c r="E40" s="90" t="str">
        <x:f>IF(AND(H40="Valid",ISNUMBER($L$11),$L$11&gt;0,$L$11&lt;1),$L$11,"")</x:f>
      </x:c>
      <x:c r="F40" s="90" t="str">
        <x:f>IF(ISNUMBER(E40),MAX(0,E40-'01 Setup'!$B$15*SQRT(E40*(1-E40)/B40)),"")</x:f>
      </x:c>
      <x:c r="G40" s="90" t="str">
        <x:f>IF(ISNUMBER(E40),MIN(1,E40+'01 Setup'!$B$15*SQRT(E40*(1-E40)/B40)),"")</x:f>
      </x:c>
      <x:c r="H40" s="83" t="str">
        <x:f>IF(COUNTA(B40:C40)=0,"",IF(COUNT(B40:C40)&lt;2,"Complete n and d",IF(OR(B40&lt;=0,C40&lt;0,C40&gt;B40,MOD(B40,1)&lt;&gt;0,MOD(C40,1)&lt;&gt;0),"Invalid counts","Valid")))</x:f>
      </x:c>
      <x:c r="I40" s="83" t="str">
        <x:f>IF(H40="","",IF(H40&lt;&gt;"Valid","Fix counts",IF(NOT(ISNUMBER(E40)),"Review baseline",IF(OR(B40*E40&lt;5,B40*(1-E40)&lt;5),"Sparse expected counts - review",IF(OR(D40&lt;F40,D40&gt;G40),"Outside limit - investigate","No point beyond limits")))))</x:f>
      </x:c>
      <x:c r="J40" s="3"/>
      <x:c r="K40" s="3"/>
      <x:c r="L40" s="3"/>
      <x:c r="M40" s="3"/>
      <x:c r="N40" s="3"/>
      <x:c r="O40" s="3"/>
      <x:c r="P40" s="3"/>
      <x:c r="Q40" s="3"/>
      <x:c r="R40" s="3"/>
    </x:row>
    <x:row r="41" ht="34" customHeight="1">
      <x:c r="A41" s="46" t="n">
        <x:v>32</x:v>
      </x:c>
      <x:c r="B41" s="46"/>
      <x:c r="C41" s="46"/>
      <x:c r="D41" s="90" t="str">
        <x:f>IF(H41="Valid",C41/B41,"")</x:f>
      </x:c>
      <x:c r="E41" s="90" t="str">
        <x:f>IF(AND(H41="Valid",ISNUMBER($L$11),$L$11&gt;0,$L$11&lt;1),$L$11,"")</x:f>
      </x:c>
      <x:c r="F41" s="90" t="str">
        <x:f>IF(ISNUMBER(E41),MAX(0,E41-'01 Setup'!$B$15*SQRT(E41*(1-E41)/B41)),"")</x:f>
      </x:c>
      <x:c r="G41" s="90" t="str">
        <x:f>IF(ISNUMBER(E41),MIN(1,E41+'01 Setup'!$B$15*SQRT(E41*(1-E41)/B41)),"")</x:f>
      </x:c>
      <x:c r="H41" s="83" t="str">
        <x:f>IF(COUNTA(B41:C41)=0,"",IF(COUNT(B41:C41)&lt;2,"Complete n and d",IF(OR(B41&lt;=0,C41&lt;0,C41&gt;B41,MOD(B41,1)&lt;&gt;0,MOD(C41,1)&lt;&gt;0),"Invalid counts","Valid")))</x:f>
      </x:c>
      <x:c r="I41" s="83" t="str">
        <x:f>IF(H41="","",IF(H41&lt;&gt;"Valid","Fix counts",IF(NOT(ISNUMBER(E41)),"Review baseline",IF(OR(B41*E41&lt;5,B41*(1-E41)&lt;5),"Sparse expected counts - review",IF(OR(D41&lt;F41,D41&gt;G41),"Outside limit - investigate","No point beyond limits")))))</x:f>
      </x:c>
      <x:c r="J41" s="3"/>
      <x:c r="K41" s="3"/>
      <x:c r="L41" s="3"/>
      <x:c r="M41" s="3"/>
      <x:c r="N41" s="3"/>
      <x:c r="O41" s="3"/>
      <x:c r="P41" s="3"/>
      <x:c r="Q41" s="3"/>
      <x:c r="R41" s="3"/>
    </x:row>
    <x:row r="42" ht="34" customHeight="1">
      <x:c r="A42" s="46" t="n">
        <x:v>33</x:v>
      </x:c>
      <x:c r="B42" s="46"/>
      <x:c r="C42" s="46"/>
      <x:c r="D42" s="90" t="str">
        <x:f>IF(H42="Valid",C42/B42,"")</x:f>
      </x:c>
      <x:c r="E42" s="90" t="str">
        <x:f>IF(AND(H42="Valid",ISNUMBER($L$11),$L$11&gt;0,$L$11&lt;1),$L$11,"")</x:f>
      </x:c>
      <x:c r="F42" s="90" t="str">
        <x:f>IF(ISNUMBER(E42),MAX(0,E42-'01 Setup'!$B$15*SQRT(E42*(1-E42)/B42)),"")</x:f>
      </x:c>
      <x:c r="G42" s="90" t="str">
        <x:f>IF(ISNUMBER(E42),MIN(1,E42+'01 Setup'!$B$15*SQRT(E42*(1-E42)/B42)),"")</x:f>
      </x:c>
      <x:c r="H42" s="83" t="str">
        <x:f>IF(COUNTA(B42:C42)=0,"",IF(COUNT(B42:C42)&lt;2,"Complete n and d",IF(OR(B42&lt;=0,C42&lt;0,C42&gt;B42,MOD(B42,1)&lt;&gt;0,MOD(C42,1)&lt;&gt;0),"Invalid counts","Valid")))</x:f>
      </x:c>
      <x:c r="I42" s="83" t="str">
        <x:f>IF(H42="","",IF(H42&lt;&gt;"Valid","Fix counts",IF(NOT(ISNUMBER(E42)),"Review baseline",IF(OR(B42*E42&lt;5,B42*(1-E42)&lt;5),"Sparse expected counts - review",IF(OR(D42&lt;F42,D42&gt;G42),"Outside limit - investigate","No point beyond limits")))))</x:f>
      </x:c>
      <x:c r="J42" s="3"/>
      <x:c r="K42" s="3"/>
      <x:c r="L42" s="3"/>
      <x:c r="M42" s="3"/>
      <x:c r="N42" s="3"/>
      <x:c r="O42" s="3"/>
      <x:c r="P42" s="3"/>
      <x:c r="Q42" s="3"/>
      <x:c r="R42" s="3"/>
    </x:row>
    <x:row r="43" ht="34" customHeight="1">
      <x:c r="A43" s="46" t="n">
        <x:v>34</x:v>
      </x:c>
      <x:c r="B43" s="46"/>
      <x:c r="C43" s="46"/>
      <x:c r="D43" s="90" t="str">
        <x:f>IF(H43="Valid",C43/B43,"")</x:f>
      </x:c>
      <x:c r="E43" s="90" t="str">
        <x:f>IF(AND(H43="Valid",ISNUMBER($L$11),$L$11&gt;0,$L$11&lt;1),$L$11,"")</x:f>
      </x:c>
      <x:c r="F43" s="90" t="str">
        <x:f>IF(ISNUMBER(E43),MAX(0,E43-'01 Setup'!$B$15*SQRT(E43*(1-E43)/B43)),"")</x:f>
      </x:c>
      <x:c r="G43" s="90" t="str">
        <x:f>IF(ISNUMBER(E43),MIN(1,E43+'01 Setup'!$B$15*SQRT(E43*(1-E43)/B43)),"")</x:f>
      </x:c>
      <x:c r="H43" s="83" t="str">
        <x:f>IF(COUNTA(B43:C43)=0,"",IF(COUNT(B43:C43)&lt;2,"Complete n and d",IF(OR(B43&lt;=0,C43&lt;0,C43&gt;B43,MOD(B43,1)&lt;&gt;0,MOD(C43,1)&lt;&gt;0),"Invalid counts","Valid")))</x:f>
      </x:c>
      <x:c r="I43" s="83" t="str">
        <x:f>IF(H43="","",IF(H43&lt;&gt;"Valid","Fix counts",IF(NOT(ISNUMBER(E43)),"Review baseline",IF(OR(B43*E43&lt;5,B43*(1-E43)&lt;5),"Sparse expected counts - review",IF(OR(D43&lt;F43,D43&gt;G43),"Outside limit - investigate","No point beyond limits")))))</x:f>
      </x:c>
      <x:c r="J43" s="3"/>
      <x:c r="K43" s="3"/>
      <x:c r="L43" s="3"/>
      <x:c r="M43" s="3"/>
      <x:c r="N43" s="3"/>
      <x:c r="O43" s="3"/>
      <x:c r="P43" s="3"/>
      <x:c r="Q43" s="3"/>
      <x:c r="R43" s="3"/>
    </x:row>
    <x:row r="44" ht="34" customHeight="1">
      <x:c r="A44" s="46" t="n">
        <x:v>35</x:v>
      </x:c>
      <x:c r="B44" s="46"/>
      <x:c r="C44" s="46"/>
      <x:c r="D44" s="90" t="str">
        <x:f>IF(H44="Valid",C44/B44,"")</x:f>
      </x:c>
      <x:c r="E44" s="90" t="str">
        <x:f>IF(AND(H44="Valid",ISNUMBER($L$11),$L$11&gt;0,$L$11&lt;1),$L$11,"")</x:f>
      </x:c>
      <x:c r="F44" s="90" t="str">
        <x:f>IF(ISNUMBER(E44),MAX(0,E44-'01 Setup'!$B$15*SQRT(E44*(1-E44)/B44)),"")</x:f>
      </x:c>
      <x:c r="G44" s="90" t="str">
        <x:f>IF(ISNUMBER(E44),MIN(1,E44+'01 Setup'!$B$15*SQRT(E44*(1-E44)/B44)),"")</x:f>
      </x:c>
      <x:c r="H44" s="83" t="str">
        <x:f>IF(COUNTA(B44:C44)=0,"",IF(COUNT(B44:C44)&lt;2,"Complete n and d",IF(OR(B44&lt;=0,C44&lt;0,C44&gt;B44,MOD(B44,1)&lt;&gt;0,MOD(C44,1)&lt;&gt;0),"Invalid counts","Valid")))</x:f>
      </x:c>
      <x:c r="I44" s="83" t="str">
        <x:f>IF(H44="","",IF(H44&lt;&gt;"Valid","Fix counts",IF(NOT(ISNUMBER(E44)),"Review baseline",IF(OR(B44*E44&lt;5,B44*(1-E44)&lt;5),"Sparse expected counts - review",IF(OR(D44&lt;F44,D44&gt;G44),"Outside limit - investigate","No point beyond limits")))))</x:f>
      </x:c>
      <x:c r="J44" s="3"/>
      <x:c r="K44" s="3"/>
      <x:c r="L44" s="3"/>
      <x:c r="M44" s="3"/>
      <x:c r="N44" s="3"/>
      <x:c r="O44" s="3"/>
      <x:c r="P44" s="3"/>
      <x:c r="Q44" s="3"/>
      <x:c r="R44" s="3"/>
    </x:row>
    <x:row r="45" ht="34" customHeight="1">
      <x:c r="A45" s="46" t="n">
        <x:v>36</x:v>
      </x:c>
      <x:c r="B45" s="46"/>
      <x:c r="C45" s="46"/>
      <x:c r="D45" s="90" t="str">
        <x:f>IF(H45="Valid",C45/B45,"")</x:f>
      </x:c>
      <x:c r="E45" s="90" t="str">
        <x:f>IF(AND(H45="Valid",ISNUMBER($L$11),$L$11&gt;0,$L$11&lt;1),$L$11,"")</x:f>
      </x:c>
      <x:c r="F45" s="90" t="str">
        <x:f>IF(ISNUMBER(E45),MAX(0,E45-'01 Setup'!$B$15*SQRT(E45*(1-E45)/B45)),"")</x:f>
      </x:c>
      <x:c r="G45" s="90" t="str">
        <x:f>IF(ISNUMBER(E45),MIN(1,E45+'01 Setup'!$B$15*SQRT(E45*(1-E45)/B45)),"")</x:f>
      </x:c>
      <x:c r="H45" s="83" t="str">
        <x:f>IF(COUNTA(B45:C45)=0,"",IF(COUNT(B45:C45)&lt;2,"Complete n and d",IF(OR(B45&lt;=0,C45&lt;0,C45&gt;B45,MOD(B45,1)&lt;&gt;0,MOD(C45,1)&lt;&gt;0),"Invalid counts","Valid")))</x:f>
      </x:c>
      <x:c r="I45" s="83" t="str">
        <x:f>IF(H45="","",IF(H45&lt;&gt;"Valid","Fix counts",IF(NOT(ISNUMBER(E45)),"Review baseline",IF(OR(B45*E45&lt;5,B45*(1-E45)&lt;5),"Sparse expected counts - review",IF(OR(D45&lt;F45,D45&gt;G45),"Outside limit - investigate","No point beyond limits")))))</x:f>
      </x:c>
      <x:c r="J45" s="3"/>
      <x:c r="K45" s="3"/>
      <x:c r="L45" s="3"/>
      <x:c r="M45" s="3"/>
      <x:c r="N45" s="3"/>
      <x:c r="O45" s="3"/>
      <x:c r="P45" s="3"/>
      <x:c r="Q45" s="3"/>
      <x:c r="R45" s="3"/>
    </x:row>
    <x:row r="46" ht="34" customHeight="1">
      <x:c r="A46" s="46" t="n">
        <x:v>37</x:v>
      </x:c>
      <x:c r="B46" s="46"/>
      <x:c r="C46" s="46"/>
      <x:c r="D46" s="90" t="str">
        <x:f>IF(H46="Valid",C46/B46,"")</x:f>
      </x:c>
      <x:c r="E46" s="90" t="str">
        <x:f>IF(AND(H46="Valid",ISNUMBER($L$11),$L$11&gt;0,$L$11&lt;1),$L$11,"")</x:f>
      </x:c>
      <x:c r="F46" s="90" t="str">
        <x:f>IF(ISNUMBER(E46),MAX(0,E46-'01 Setup'!$B$15*SQRT(E46*(1-E46)/B46)),"")</x:f>
      </x:c>
      <x:c r="G46" s="90" t="str">
        <x:f>IF(ISNUMBER(E46),MIN(1,E46+'01 Setup'!$B$15*SQRT(E46*(1-E46)/B46)),"")</x:f>
      </x:c>
      <x:c r="H46" s="83" t="str">
        <x:f>IF(COUNTA(B46:C46)=0,"",IF(COUNT(B46:C46)&lt;2,"Complete n and d",IF(OR(B46&lt;=0,C46&lt;0,C46&gt;B46,MOD(B46,1)&lt;&gt;0,MOD(C46,1)&lt;&gt;0),"Invalid counts","Valid")))</x:f>
      </x:c>
      <x:c r="I46" s="83" t="str">
        <x:f>IF(H46="","",IF(H46&lt;&gt;"Valid","Fix counts",IF(NOT(ISNUMBER(E46)),"Review baseline",IF(OR(B46*E46&lt;5,B46*(1-E46)&lt;5),"Sparse expected counts - review",IF(OR(D46&lt;F46,D46&gt;G46),"Outside limit - investigate","No point beyond limits")))))</x:f>
      </x:c>
      <x:c r="J46" s="3"/>
      <x:c r="K46" s="3"/>
      <x:c r="L46" s="3"/>
      <x:c r="M46" s="3"/>
      <x:c r="N46" s="3"/>
      <x:c r="O46" s="3"/>
      <x:c r="P46" s="3"/>
      <x:c r="Q46" s="3"/>
      <x:c r="R46" s="3"/>
    </x:row>
    <x:row r="47" ht="34" customHeight="1">
      <x:c r="A47" s="46" t="n">
        <x:v>38</x:v>
      </x:c>
      <x:c r="B47" s="46"/>
      <x:c r="C47" s="46"/>
      <x:c r="D47" s="90" t="str">
        <x:f>IF(H47="Valid",C47/B47,"")</x:f>
      </x:c>
      <x:c r="E47" s="90" t="str">
        <x:f>IF(AND(H47="Valid",ISNUMBER($L$11),$L$11&gt;0,$L$11&lt;1),$L$11,"")</x:f>
      </x:c>
      <x:c r="F47" s="90" t="str">
        <x:f>IF(ISNUMBER(E47),MAX(0,E47-'01 Setup'!$B$15*SQRT(E47*(1-E47)/B47)),"")</x:f>
      </x:c>
      <x:c r="G47" s="90" t="str">
        <x:f>IF(ISNUMBER(E47),MIN(1,E47+'01 Setup'!$B$15*SQRT(E47*(1-E47)/B47)),"")</x:f>
      </x:c>
      <x:c r="H47" s="83" t="str">
        <x:f>IF(COUNTA(B47:C47)=0,"",IF(COUNT(B47:C47)&lt;2,"Complete n and d",IF(OR(B47&lt;=0,C47&lt;0,C47&gt;B47,MOD(B47,1)&lt;&gt;0,MOD(C47,1)&lt;&gt;0),"Invalid counts","Valid")))</x:f>
      </x:c>
      <x:c r="I47" s="83" t="str">
        <x:f>IF(H47="","",IF(H47&lt;&gt;"Valid","Fix counts",IF(NOT(ISNUMBER(E47)),"Review baseline",IF(OR(B47*E47&lt;5,B47*(1-E47)&lt;5),"Sparse expected counts - review",IF(OR(D47&lt;F47,D47&gt;G47),"Outside limit - investigate","No point beyond limits")))))</x:f>
      </x:c>
      <x:c r="J47" s="3"/>
      <x:c r="K47" s="3"/>
      <x:c r="L47" s="3"/>
      <x:c r="M47" s="3"/>
      <x:c r="N47" s="3"/>
      <x:c r="O47" s="3"/>
      <x:c r="P47" s="3"/>
      <x:c r="Q47" s="3"/>
      <x:c r="R47" s="3"/>
    </x:row>
    <x:row r="48" ht="34" customHeight="1">
      <x:c r="A48" s="46" t="n">
        <x:v>39</x:v>
      </x:c>
      <x:c r="B48" s="46"/>
      <x:c r="C48" s="46"/>
      <x:c r="D48" s="90" t="str">
        <x:f>IF(H48="Valid",C48/B48,"")</x:f>
      </x:c>
      <x:c r="E48" s="90" t="str">
        <x:f>IF(AND(H48="Valid",ISNUMBER($L$11),$L$11&gt;0,$L$11&lt;1),$L$11,"")</x:f>
      </x:c>
      <x:c r="F48" s="90" t="str">
        <x:f>IF(ISNUMBER(E48),MAX(0,E48-'01 Setup'!$B$15*SQRT(E48*(1-E48)/B48)),"")</x:f>
      </x:c>
      <x:c r="G48" s="90" t="str">
        <x:f>IF(ISNUMBER(E48),MIN(1,E48+'01 Setup'!$B$15*SQRT(E48*(1-E48)/B48)),"")</x:f>
      </x:c>
      <x:c r="H48" s="83" t="str">
        <x:f>IF(COUNTA(B48:C48)=0,"",IF(COUNT(B48:C48)&lt;2,"Complete n and d",IF(OR(B48&lt;=0,C48&lt;0,C48&gt;B48,MOD(B48,1)&lt;&gt;0,MOD(C48,1)&lt;&gt;0),"Invalid counts","Valid")))</x:f>
      </x:c>
      <x:c r="I48" s="83" t="str">
        <x:f>IF(H48="","",IF(H48&lt;&gt;"Valid","Fix counts",IF(NOT(ISNUMBER(E48)),"Review baseline",IF(OR(B48*E48&lt;5,B48*(1-E48)&lt;5),"Sparse expected counts - review",IF(OR(D48&lt;F48,D48&gt;G48),"Outside limit - investigate","No point beyond limits")))))</x:f>
      </x:c>
      <x:c r="J48" s="3"/>
      <x:c r="K48" s="3"/>
      <x:c r="L48" s="3"/>
      <x:c r="M48" s="3"/>
      <x:c r="N48" s="3"/>
      <x:c r="O48" s="3"/>
      <x:c r="P48" s="3"/>
      <x:c r="Q48" s="3"/>
      <x:c r="R48" s="3"/>
    </x:row>
    <x:row r="49" ht="34" customHeight="1">
      <x:c r="A49" s="46" t="n">
        <x:v>40</x:v>
      </x:c>
      <x:c r="B49" s="46"/>
      <x:c r="C49" s="46"/>
      <x:c r="D49" s="90" t="str">
        <x:f>IF(H49="Valid",C49/B49,"")</x:f>
      </x:c>
      <x:c r="E49" s="90" t="str">
        <x:f>IF(AND(H49="Valid",ISNUMBER($L$11),$L$11&gt;0,$L$11&lt;1),$L$11,"")</x:f>
      </x:c>
      <x:c r="F49" s="90" t="str">
        <x:f>IF(ISNUMBER(E49),MAX(0,E49-'01 Setup'!$B$15*SQRT(E49*(1-E49)/B49)),"")</x:f>
      </x:c>
      <x:c r="G49" s="90" t="str">
        <x:f>IF(ISNUMBER(E49),MIN(1,E49+'01 Setup'!$B$15*SQRT(E49*(1-E49)/B49)),"")</x:f>
      </x:c>
      <x:c r="H49" s="83" t="str">
        <x:f>IF(COUNTA(B49:C49)=0,"",IF(COUNT(B49:C49)&lt;2,"Complete n and d",IF(OR(B49&lt;=0,C49&lt;0,C49&gt;B49,MOD(B49,1)&lt;&gt;0,MOD(C49,1)&lt;&gt;0),"Invalid counts","Valid")))</x:f>
      </x:c>
      <x:c r="I49" s="83" t="str">
        <x:f>IF(H49="","",IF(H49&lt;&gt;"Valid","Fix counts",IF(NOT(ISNUMBER(E49)),"Review baseline",IF(OR(B49*E49&lt;5,B49*(1-E49)&lt;5),"Sparse expected counts - review",IF(OR(D49&lt;F49,D49&gt;G49),"Outside limit - investigate","No point beyond limits")))))</x:f>
      </x:c>
      <x:c r="J49" s="3"/>
      <x:c r="K49" s="3"/>
      <x:c r="L49" s="3"/>
      <x:c r="M49" s="3"/>
      <x:c r="N49" s="3"/>
      <x:c r="O49" s="3"/>
      <x:c r="P49" s="3"/>
      <x:c r="Q49" s="3"/>
      <x:c r="R49" s="3"/>
    </x:row>
    <x:row r="50" ht="34" customHeight="1">
      <x:c r="A50" s="46" t="n">
        <x:v>41</x:v>
      </x:c>
      <x:c r="B50" s="46"/>
      <x:c r="C50" s="46"/>
      <x:c r="D50" s="90" t="str">
        <x:f>IF(H50="Valid",C50/B50,"")</x:f>
      </x:c>
      <x:c r="E50" s="90" t="str">
        <x:f>IF(AND(H50="Valid",ISNUMBER($L$11),$L$11&gt;0,$L$11&lt;1),$L$11,"")</x:f>
      </x:c>
      <x:c r="F50" s="90" t="str">
        <x:f>IF(ISNUMBER(E50),MAX(0,E50-'01 Setup'!$B$15*SQRT(E50*(1-E50)/B50)),"")</x:f>
      </x:c>
      <x:c r="G50" s="90" t="str">
        <x:f>IF(ISNUMBER(E50),MIN(1,E50+'01 Setup'!$B$15*SQRT(E50*(1-E50)/B50)),"")</x:f>
      </x:c>
      <x:c r="H50" s="83" t="str">
        <x:f>IF(COUNTA(B50:C50)=0,"",IF(COUNT(B50:C50)&lt;2,"Complete n and d",IF(OR(B50&lt;=0,C50&lt;0,C50&gt;B50,MOD(B50,1)&lt;&gt;0,MOD(C50,1)&lt;&gt;0),"Invalid counts","Valid")))</x:f>
      </x:c>
      <x:c r="I50" s="83" t="str">
        <x:f>IF(H50="","",IF(H50&lt;&gt;"Valid","Fix counts",IF(NOT(ISNUMBER(E50)),"Review baseline",IF(OR(B50*E50&lt;5,B50*(1-E50)&lt;5),"Sparse expected counts - review",IF(OR(D50&lt;F50,D50&gt;G50),"Outside limit - investigate","No point beyond limits")))))</x:f>
      </x:c>
      <x:c r="J50" s="3"/>
      <x:c r="K50" s="3"/>
      <x:c r="L50" s="3"/>
      <x:c r="M50" s="3"/>
      <x:c r="N50" s="3"/>
      <x:c r="O50" s="3"/>
      <x:c r="P50" s="3"/>
      <x:c r="Q50" s="3"/>
      <x:c r="R50" s="3"/>
    </x:row>
    <x:row r="51" ht="34" customHeight="1">
      <x:c r="A51" s="46" t="n">
        <x:v>42</x:v>
      </x:c>
      <x:c r="B51" s="46"/>
      <x:c r="C51" s="46"/>
      <x:c r="D51" s="90" t="str">
        <x:f>IF(H51="Valid",C51/B51,"")</x:f>
      </x:c>
      <x:c r="E51" s="90" t="str">
        <x:f>IF(AND(H51="Valid",ISNUMBER($L$11),$L$11&gt;0,$L$11&lt;1),$L$11,"")</x:f>
      </x:c>
      <x:c r="F51" s="90" t="str">
        <x:f>IF(ISNUMBER(E51),MAX(0,E51-'01 Setup'!$B$15*SQRT(E51*(1-E51)/B51)),"")</x:f>
      </x:c>
      <x:c r="G51" s="90" t="str">
        <x:f>IF(ISNUMBER(E51),MIN(1,E51+'01 Setup'!$B$15*SQRT(E51*(1-E51)/B51)),"")</x:f>
      </x:c>
      <x:c r="H51" s="83" t="str">
        <x:f>IF(COUNTA(B51:C51)=0,"",IF(COUNT(B51:C51)&lt;2,"Complete n and d",IF(OR(B51&lt;=0,C51&lt;0,C51&gt;B51,MOD(B51,1)&lt;&gt;0,MOD(C51,1)&lt;&gt;0),"Invalid counts","Valid")))</x:f>
      </x:c>
      <x:c r="I51" s="83" t="str">
        <x:f>IF(H51="","",IF(H51&lt;&gt;"Valid","Fix counts",IF(NOT(ISNUMBER(E51)),"Review baseline",IF(OR(B51*E51&lt;5,B51*(1-E51)&lt;5),"Sparse expected counts - review",IF(OR(D51&lt;F51,D51&gt;G51),"Outside limit - investigate","No point beyond limits")))))</x:f>
      </x:c>
      <x:c r="J51" s="3"/>
      <x:c r="K51" s="3"/>
      <x:c r="L51" s="3"/>
      <x:c r="M51" s="3"/>
      <x:c r="N51" s="3"/>
      <x:c r="O51" s="3"/>
      <x:c r="P51" s="3"/>
      <x:c r="Q51" s="3"/>
      <x:c r="R51" s="3"/>
    </x:row>
    <x:row r="52" ht="34" customHeight="1">
      <x:c r="A52" s="46" t="n">
        <x:v>43</x:v>
      </x:c>
      <x:c r="B52" s="46"/>
      <x:c r="C52" s="46"/>
      <x:c r="D52" s="90" t="str">
        <x:f>IF(H52="Valid",C52/B52,"")</x:f>
      </x:c>
      <x:c r="E52" s="90" t="str">
        <x:f>IF(AND(H52="Valid",ISNUMBER($L$11),$L$11&gt;0,$L$11&lt;1),$L$11,"")</x:f>
      </x:c>
      <x:c r="F52" s="90" t="str">
        <x:f>IF(ISNUMBER(E52),MAX(0,E52-'01 Setup'!$B$15*SQRT(E52*(1-E52)/B52)),"")</x:f>
      </x:c>
      <x:c r="G52" s="90" t="str">
        <x:f>IF(ISNUMBER(E52),MIN(1,E52+'01 Setup'!$B$15*SQRT(E52*(1-E52)/B52)),"")</x:f>
      </x:c>
      <x:c r="H52" s="83" t="str">
        <x:f>IF(COUNTA(B52:C52)=0,"",IF(COUNT(B52:C52)&lt;2,"Complete n and d",IF(OR(B52&lt;=0,C52&lt;0,C52&gt;B52,MOD(B52,1)&lt;&gt;0,MOD(C52,1)&lt;&gt;0),"Invalid counts","Valid")))</x:f>
      </x:c>
      <x:c r="I52" s="83" t="str">
        <x:f>IF(H52="","",IF(H52&lt;&gt;"Valid","Fix counts",IF(NOT(ISNUMBER(E52)),"Review baseline",IF(OR(B52*E52&lt;5,B52*(1-E52)&lt;5),"Sparse expected counts - review",IF(OR(D52&lt;F52,D52&gt;G52),"Outside limit - investigate","No point beyond limits")))))</x:f>
      </x:c>
      <x:c r="J52" s="3"/>
      <x:c r="K52" s="3"/>
      <x:c r="L52" s="3"/>
      <x:c r="M52" s="3"/>
      <x:c r="N52" s="3"/>
      <x:c r="O52" s="3"/>
      <x:c r="P52" s="3"/>
      <x:c r="Q52" s="3"/>
      <x:c r="R52" s="3"/>
    </x:row>
    <x:row r="53" ht="34" customHeight="1">
      <x:c r="A53" s="46" t="n">
        <x:v>44</x:v>
      </x:c>
      <x:c r="B53" s="46"/>
      <x:c r="C53" s="46"/>
      <x:c r="D53" s="90" t="str">
        <x:f>IF(H53="Valid",C53/B53,"")</x:f>
      </x:c>
      <x:c r="E53" s="90" t="str">
        <x:f>IF(AND(H53="Valid",ISNUMBER($L$11),$L$11&gt;0,$L$11&lt;1),$L$11,"")</x:f>
      </x:c>
      <x:c r="F53" s="90" t="str">
        <x:f>IF(ISNUMBER(E53),MAX(0,E53-'01 Setup'!$B$15*SQRT(E53*(1-E53)/B53)),"")</x:f>
      </x:c>
      <x:c r="G53" s="90" t="str">
        <x:f>IF(ISNUMBER(E53),MIN(1,E53+'01 Setup'!$B$15*SQRT(E53*(1-E53)/B53)),"")</x:f>
      </x:c>
      <x:c r="H53" s="83" t="str">
        <x:f>IF(COUNTA(B53:C53)=0,"",IF(COUNT(B53:C53)&lt;2,"Complete n and d",IF(OR(B53&lt;=0,C53&lt;0,C53&gt;B53,MOD(B53,1)&lt;&gt;0,MOD(C53,1)&lt;&gt;0),"Invalid counts","Valid")))</x:f>
      </x:c>
      <x:c r="I53" s="83" t="str">
        <x:f>IF(H53="","",IF(H53&lt;&gt;"Valid","Fix counts",IF(NOT(ISNUMBER(E53)),"Review baseline",IF(OR(B53*E53&lt;5,B53*(1-E53)&lt;5),"Sparse expected counts - review",IF(OR(D53&lt;F53,D53&gt;G53),"Outside limit - investigate","No point beyond limits")))))</x:f>
      </x:c>
      <x:c r="J53" s="3"/>
      <x:c r="K53" s="3"/>
      <x:c r="L53" s="3"/>
      <x:c r="M53" s="3"/>
      <x:c r="N53" s="3"/>
      <x:c r="O53" s="3"/>
      <x:c r="P53" s="3"/>
      <x:c r="Q53" s="3"/>
      <x:c r="R53" s="3"/>
    </x:row>
    <x:row r="54" ht="34" customHeight="1">
      <x:c r="A54" s="46" t="n">
        <x:v>45</x:v>
      </x:c>
      <x:c r="B54" s="46"/>
      <x:c r="C54" s="46"/>
      <x:c r="D54" s="90" t="str">
        <x:f>IF(H54="Valid",C54/B54,"")</x:f>
      </x:c>
      <x:c r="E54" s="90" t="str">
        <x:f>IF(AND(H54="Valid",ISNUMBER($L$11),$L$11&gt;0,$L$11&lt;1),$L$11,"")</x:f>
      </x:c>
      <x:c r="F54" s="90" t="str">
        <x:f>IF(ISNUMBER(E54),MAX(0,E54-'01 Setup'!$B$15*SQRT(E54*(1-E54)/B54)),"")</x:f>
      </x:c>
      <x:c r="G54" s="90" t="str">
        <x:f>IF(ISNUMBER(E54),MIN(1,E54+'01 Setup'!$B$15*SQRT(E54*(1-E54)/B54)),"")</x:f>
      </x:c>
      <x:c r="H54" s="83" t="str">
        <x:f>IF(COUNTA(B54:C54)=0,"",IF(COUNT(B54:C54)&lt;2,"Complete n and d",IF(OR(B54&lt;=0,C54&lt;0,C54&gt;B54,MOD(B54,1)&lt;&gt;0,MOD(C54,1)&lt;&gt;0),"Invalid counts","Valid")))</x:f>
      </x:c>
      <x:c r="I54" s="83" t="str">
        <x:f>IF(H54="","",IF(H54&lt;&gt;"Valid","Fix counts",IF(NOT(ISNUMBER(E54)),"Review baseline",IF(OR(B54*E54&lt;5,B54*(1-E54)&lt;5),"Sparse expected counts - review",IF(OR(D54&lt;F54,D54&gt;G54),"Outside limit - investigate","No point beyond limits")))))</x:f>
      </x:c>
      <x:c r="J54" s="3"/>
      <x:c r="K54" s="3"/>
      <x:c r="L54" s="3"/>
      <x:c r="M54" s="3"/>
      <x:c r="N54" s="3"/>
      <x:c r="O54" s="3"/>
      <x:c r="P54" s="3"/>
      <x:c r="Q54" s="3"/>
      <x:c r="R54" s="3"/>
    </x:row>
    <x:row r="55" ht="34" customHeight="1">
      <x:c r="A55" s="46" t="n">
        <x:v>46</x:v>
      </x:c>
      <x:c r="B55" s="46"/>
      <x:c r="C55" s="46"/>
      <x:c r="D55" s="90" t="str">
        <x:f>IF(H55="Valid",C55/B55,"")</x:f>
      </x:c>
      <x:c r="E55" s="90" t="str">
        <x:f>IF(AND(H55="Valid",ISNUMBER($L$11),$L$11&gt;0,$L$11&lt;1),$L$11,"")</x:f>
      </x:c>
      <x:c r="F55" s="90" t="str">
        <x:f>IF(ISNUMBER(E55),MAX(0,E55-'01 Setup'!$B$15*SQRT(E55*(1-E55)/B55)),"")</x:f>
      </x:c>
      <x:c r="G55" s="90" t="str">
        <x:f>IF(ISNUMBER(E55),MIN(1,E55+'01 Setup'!$B$15*SQRT(E55*(1-E55)/B55)),"")</x:f>
      </x:c>
      <x:c r="H55" s="83" t="str">
        <x:f>IF(COUNTA(B55:C55)=0,"",IF(COUNT(B55:C55)&lt;2,"Complete n and d",IF(OR(B55&lt;=0,C55&lt;0,C55&gt;B55,MOD(B55,1)&lt;&gt;0,MOD(C55,1)&lt;&gt;0),"Invalid counts","Valid")))</x:f>
      </x:c>
      <x:c r="I55" s="83" t="str">
        <x:f>IF(H55="","",IF(H55&lt;&gt;"Valid","Fix counts",IF(NOT(ISNUMBER(E55)),"Review baseline",IF(OR(B55*E55&lt;5,B55*(1-E55)&lt;5),"Sparse expected counts - review",IF(OR(D55&lt;F55,D55&gt;G55),"Outside limit - investigate","No point beyond limits")))))</x:f>
      </x:c>
      <x:c r="J55" s="3"/>
      <x:c r="K55" s="3"/>
      <x:c r="L55" s="3"/>
      <x:c r="M55" s="3"/>
      <x:c r="N55" s="3"/>
      <x:c r="O55" s="3"/>
      <x:c r="P55" s="3"/>
      <x:c r="Q55" s="3"/>
      <x:c r="R55" s="3"/>
    </x:row>
    <x:row r="56" ht="34" customHeight="1">
      <x:c r="A56" s="46" t="n">
        <x:v>47</x:v>
      </x:c>
      <x:c r="B56" s="46"/>
      <x:c r="C56" s="46"/>
      <x:c r="D56" s="90" t="str">
        <x:f>IF(H56="Valid",C56/B56,"")</x:f>
      </x:c>
      <x:c r="E56" s="90" t="str">
        <x:f>IF(AND(H56="Valid",ISNUMBER($L$11),$L$11&gt;0,$L$11&lt;1),$L$11,"")</x:f>
      </x:c>
      <x:c r="F56" s="90" t="str">
        <x:f>IF(ISNUMBER(E56),MAX(0,E56-'01 Setup'!$B$15*SQRT(E56*(1-E56)/B56)),"")</x:f>
      </x:c>
      <x:c r="G56" s="90" t="str">
        <x:f>IF(ISNUMBER(E56),MIN(1,E56+'01 Setup'!$B$15*SQRT(E56*(1-E56)/B56)),"")</x:f>
      </x:c>
      <x:c r="H56" s="83" t="str">
        <x:f>IF(COUNTA(B56:C56)=0,"",IF(COUNT(B56:C56)&lt;2,"Complete n and d",IF(OR(B56&lt;=0,C56&lt;0,C56&gt;B56,MOD(B56,1)&lt;&gt;0,MOD(C56,1)&lt;&gt;0),"Invalid counts","Valid")))</x:f>
      </x:c>
      <x:c r="I56" s="83" t="str">
        <x:f>IF(H56="","",IF(H56&lt;&gt;"Valid","Fix counts",IF(NOT(ISNUMBER(E56)),"Review baseline",IF(OR(B56*E56&lt;5,B56*(1-E56)&lt;5),"Sparse expected counts - review",IF(OR(D56&lt;F56,D56&gt;G56),"Outside limit - investigate","No point beyond limits")))))</x:f>
      </x:c>
      <x:c r="J56" s="3"/>
      <x:c r="K56" s="3"/>
      <x:c r="L56" s="3"/>
      <x:c r="M56" s="3"/>
      <x:c r="N56" s="3"/>
      <x:c r="O56" s="3"/>
      <x:c r="P56" s="3"/>
      <x:c r="Q56" s="3"/>
      <x:c r="R56" s="3"/>
    </x:row>
    <x:row r="57" ht="34" customHeight="1">
      <x:c r="A57" s="46" t="n">
        <x:v>48</x:v>
      </x:c>
      <x:c r="B57" s="46"/>
      <x:c r="C57" s="46"/>
      <x:c r="D57" s="90" t="str">
        <x:f>IF(H57="Valid",C57/B57,"")</x:f>
      </x:c>
      <x:c r="E57" s="90" t="str">
        <x:f>IF(AND(H57="Valid",ISNUMBER($L$11),$L$11&gt;0,$L$11&lt;1),$L$11,"")</x:f>
      </x:c>
      <x:c r="F57" s="90" t="str">
        <x:f>IF(ISNUMBER(E57),MAX(0,E57-'01 Setup'!$B$15*SQRT(E57*(1-E57)/B57)),"")</x:f>
      </x:c>
      <x:c r="G57" s="90" t="str">
        <x:f>IF(ISNUMBER(E57),MIN(1,E57+'01 Setup'!$B$15*SQRT(E57*(1-E57)/B57)),"")</x:f>
      </x:c>
      <x:c r="H57" s="83" t="str">
        <x:f>IF(COUNTA(B57:C57)=0,"",IF(COUNT(B57:C57)&lt;2,"Complete n and d",IF(OR(B57&lt;=0,C57&lt;0,C57&gt;B57,MOD(B57,1)&lt;&gt;0,MOD(C57,1)&lt;&gt;0),"Invalid counts","Valid")))</x:f>
      </x:c>
      <x:c r="I57" s="83" t="str">
        <x:f>IF(H57="","",IF(H57&lt;&gt;"Valid","Fix counts",IF(NOT(ISNUMBER(E57)),"Review baseline",IF(OR(B57*E57&lt;5,B57*(1-E57)&lt;5),"Sparse expected counts - review",IF(OR(D57&lt;F57,D57&gt;G57),"Outside limit - investigate","No point beyond limits")))))</x:f>
      </x:c>
      <x:c r="J57" s="3"/>
      <x:c r="K57" s="3"/>
      <x:c r="L57" s="3"/>
      <x:c r="M57" s="3"/>
      <x:c r="N57" s="3"/>
      <x:c r="O57" s="3"/>
      <x:c r="P57" s="3"/>
      <x:c r="Q57" s="3"/>
      <x:c r="R57" s="3"/>
    </x:row>
    <x:row r="58" ht="34" customHeight="1">
      <x:c r="A58" s="46" t="n">
        <x:v>49</x:v>
      </x:c>
      <x:c r="B58" s="46"/>
      <x:c r="C58" s="46"/>
      <x:c r="D58" s="90" t="str">
        <x:f>IF(H58="Valid",C58/B58,"")</x:f>
      </x:c>
      <x:c r="E58" s="90" t="str">
        <x:f>IF(AND(H58="Valid",ISNUMBER($L$11),$L$11&gt;0,$L$11&lt;1),$L$11,"")</x:f>
      </x:c>
      <x:c r="F58" s="90" t="str">
        <x:f>IF(ISNUMBER(E58),MAX(0,E58-'01 Setup'!$B$15*SQRT(E58*(1-E58)/B58)),"")</x:f>
      </x:c>
      <x:c r="G58" s="90" t="str">
        <x:f>IF(ISNUMBER(E58),MIN(1,E58+'01 Setup'!$B$15*SQRT(E58*(1-E58)/B58)),"")</x:f>
      </x:c>
      <x:c r="H58" s="83" t="str">
        <x:f>IF(COUNTA(B58:C58)=0,"",IF(COUNT(B58:C58)&lt;2,"Complete n and d",IF(OR(B58&lt;=0,C58&lt;0,C58&gt;B58,MOD(B58,1)&lt;&gt;0,MOD(C58,1)&lt;&gt;0),"Invalid counts","Valid")))</x:f>
      </x:c>
      <x:c r="I58" s="83" t="str">
        <x:f>IF(H58="","",IF(H58&lt;&gt;"Valid","Fix counts",IF(NOT(ISNUMBER(E58)),"Review baseline",IF(OR(B58*E58&lt;5,B58*(1-E58)&lt;5),"Sparse expected counts - review",IF(OR(D58&lt;F58,D58&gt;G58),"Outside limit - investigate","No point beyond limits")))))</x:f>
      </x:c>
      <x:c r="J58" s="3"/>
      <x:c r="K58" s="3"/>
      <x:c r="L58" s="3"/>
      <x:c r="M58" s="3"/>
      <x:c r="N58" s="3"/>
      <x:c r="O58" s="3"/>
      <x:c r="P58" s="3"/>
      <x:c r="Q58" s="3"/>
      <x:c r="R58" s="3"/>
    </x:row>
    <x:row r="59" ht="34" customHeight="1">
      <x:c r="A59" s="46" t="n">
        <x:v>50</x:v>
      </x:c>
      <x:c r="B59" s="46"/>
      <x:c r="C59" s="46"/>
      <x:c r="D59" s="90" t="str">
        <x:f>IF(H59="Valid",C59/B59,"")</x:f>
      </x:c>
      <x:c r="E59" s="90" t="str">
        <x:f>IF(AND(H59="Valid",ISNUMBER($L$11),$L$11&gt;0,$L$11&lt;1),$L$11,"")</x:f>
      </x:c>
      <x:c r="F59" s="90" t="str">
        <x:f>IF(ISNUMBER(E59),MAX(0,E59-'01 Setup'!$B$15*SQRT(E59*(1-E59)/B59)),"")</x:f>
      </x:c>
      <x:c r="G59" s="90" t="str">
        <x:f>IF(ISNUMBER(E59),MIN(1,E59+'01 Setup'!$B$15*SQRT(E59*(1-E59)/B59)),"")</x:f>
      </x:c>
      <x:c r="H59" s="83" t="str">
        <x:f>IF(COUNTA(B59:C59)=0,"",IF(COUNT(B59:C59)&lt;2,"Complete n and d",IF(OR(B59&lt;=0,C59&lt;0,C59&gt;B59,MOD(B59,1)&lt;&gt;0,MOD(C59,1)&lt;&gt;0),"Invalid counts","Valid")))</x:f>
      </x:c>
      <x:c r="I59" s="83" t="str">
        <x:f>IF(H59="","",IF(H59&lt;&gt;"Valid","Fix counts",IF(NOT(ISNUMBER(E59)),"Review baseline",IF(OR(B59*E59&lt;5,B59*(1-E59)&lt;5),"Sparse expected counts - review",IF(OR(D59&lt;F59,D59&gt;G59),"Outside limit - investigate","No point beyond limits")))))</x:f>
      </x:c>
      <x:c r="J59" s="3"/>
      <x:c r="K59" s="3"/>
      <x:c r="L59" s="3"/>
      <x:c r="M59" s="3"/>
      <x:c r="N59" s="3"/>
      <x:c r="O59" s="3"/>
      <x:c r="P59" s="3"/>
      <x:c r="Q59" s="3"/>
      <x:c r="R59" s="3"/>
    </x:row>
    <x:row r="60" ht="34" customHeight="1">
      <x:c r="A60" s="46" t="n">
        <x:v>51</x:v>
      </x:c>
      <x:c r="B60" s="46"/>
      <x:c r="C60" s="46"/>
      <x:c r="D60" s="90" t="str">
        <x:f>IF(H60="Valid",C60/B60,"")</x:f>
      </x:c>
      <x:c r="E60" s="90" t="str">
        <x:f>IF(AND(H60="Valid",ISNUMBER($L$11),$L$11&gt;0,$L$11&lt;1),$L$11,"")</x:f>
      </x:c>
      <x:c r="F60" s="90" t="str">
        <x:f>IF(ISNUMBER(E60),MAX(0,E60-'01 Setup'!$B$15*SQRT(E60*(1-E60)/B60)),"")</x:f>
      </x:c>
      <x:c r="G60" s="90" t="str">
        <x:f>IF(ISNUMBER(E60),MIN(1,E60+'01 Setup'!$B$15*SQRT(E60*(1-E60)/B60)),"")</x:f>
      </x:c>
      <x:c r="H60" s="83" t="str">
        <x:f>IF(COUNTA(B60:C60)=0,"",IF(COUNT(B60:C60)&lt;2,"Complete n and d",IF(OR(B60&lt;=0,C60&lt;0,C60&gt;B60,MOD(B60,1)&lt;&gt;0,MOD(C60,1)&lt;&gt;0),"Invalid counts","Valid")))</x:f>
      </x:c>
      <x:c r="I60" s="83" t="str">
        <x:f>IF(H60="","",IF(H60&lt;&gt;"Valid","Fix counts",IF(NOT(ISNUMBER(E60)),"Review baseline",IF(OR(B60*E60&lt;5,B60*(1-E60)&lt;5),"Sparse expected counts - review",IF(OR(D60&lt;F60,D60&gt;G60),"Outside limit - investigate","No point beyond limits")))))</x:f>
      </x:c>
      <x:c r="J60" s="3"/>
      <x:c r="K60" s="3"/>
      <x:c r="L60" s="3"/>
      <x:c r="M60" s="3"/>
      <x:c r="N60" s="3"/>
      <x:c r="O60" s="3"/>
      <x:c r="P60" s="3"/>
      <x:c r="Q60" s="3"/>
      <x:c r="R60" s="3"/>
    </x:row>
    <x:row r="61" ht="34" customHeight="1">
      <x:c r="A61" s="46" t="n">
        <x:v>52</x:v>
      </x:c>
      <x:c r="B61" s="46"/>
      <x:c r="C61" s="46"/>
      <x:c r="D61" s="90" t="str">
        <x:f>IF(H61="Valid",C61/B61,"")</x:f>
      </x:c>
      <x:c r="E61" s="90" t="str">
        <x:f>IF(AND(H61="Valid",ISNUMBER($L$11),$L$11&gt;0,$L$11&lt;1),$L$11,"")</x:f>
      </x:c>
      <x:c r="F61" s="90" t="str">
        <x:f>IF(ISNUMBER(E61),MAX(0,E61-'01 Setup'!$B$15*SQRT(E61*(1-E61)/B61)),"")</x:f>
      </x:c>
      <x:c r="G61" s="90" t="str">
        <x:f>IF(ISNUMBER(E61),MIN(1,E61+'01 Setup'!$B$15*SQRT(E61*(1-E61)/B61)),"")</x:f>
      </x:c>
      <x:c r="H61" s="83" t="str">
        <x:f>IF(COUNTA(B61:C61)=0,"",IF(COUNT(B61:C61)&lt;2,"Complete n and d",IF(OR(B61&lt;=0,C61&lt;0,C61&gt;B61,MOD(B61,1)&lt;&gt;0,MOD(C61,1)&lt;&gt;0),"Invalid counts","Valid")))</x:f>
      </x:c>
      <x:c r="I61" s="83" t="str">
        <x:f>IF(H61="","",IF(H61&lt;&gt;"Valid","Fix counts",IF(NOT(ISNUMBER(E61)),"Review baseline",IF(OR(B61*E61&lt;5,B61*(1-E61)&lt;5),"Sparse expected counts - review",IF(OR(D61&lt;F61,D61&gt;G61),"Outside limit - investigate","No point beyond limits")))))</x:f>
      </x:c>
      <x:c r="J61" s="3"/>
      <x:c r="K61" s="3"/>
      <x:c r="L61" s="3"/>
      <x:c r="M61" s="3"/>
      <x:c r="N61" s="3"/>
      <x:c r="O61" s="3"/>
      <x:c r="P61" s="3"/>
      <x:c r="Q61" s="3"/>
      <x:c r="R61" s="3"/>
    </x:row>
    <x:row r="62" ht="34" customHeight="1">
      <x:c r="A62" s="46" t="n">
        <x:v>53</x:v>
      </x:c>
      <x:c r="B62" s="46"/>
      <x:c r="C62" s="46"/>
      <x:c r="D62" s="90" t="str">
        <x:f>IF(H62="Valid",C62/B62,"")</x:f>
      </x:c>
      <x:c r="E62" s="90" t="str">
        <x:f>IF(AND(H62="Valid",ISNUMBER($L$11),$L$11&gt;0,$L$11&lt;1),$L$11,"")</x:f>
      </x:c>
      <x:c r="F62" s="90" t="str">
        <x:f>IF(ISNUMBER(E62),MAX(0,E62-'01 Setup'!$B$15*SQRT(E62*(1-E62)/B62)),"")</x:f>
      </x:c>
      <x:c r="G62" s="90" t="str">
        <x:f>IF(ISNUMBER(E62),MIN(1,E62+'01 Setup'!$B$15*SQRT(E62*(1-E62)/B62)),"")</x:f>
      </x:c>
      <x:c r="H62" s="83" t="str">
        <x:f>IF(COUNTA(B62:C62)=0,"",IF(COUNT(B62:C62)&lt;2,"Complete n and d",IF(OR(B62&lt;=0,C62&lt;0,C62&gt;B62,MOD(B62,1)&lt;&gt;0,MOD(C62,1)&lt;&gt;0),"Invalid counts","Valid")))</x:f>
      </x:c>
      <x:c r="I62" s="83" t="str">
        <x:f>IF(H62="","",IF(H62&lt;&gt;"Valid","Fix counts",IF(NOT(ISNUMBER(E62)),"Review baseline",IF(OR(B62*E62&lt;5,B62*(1-E62)&lt;5),"Sparse expected counts - review",IF(OR(D62&lt;F62,D62&gt;G62),"Outside limit - investigate","No point beyond limits")))))</x:f>
      </x:c>
      <x:c r="J62" s="3"/>
      <x:c r="K62" s="3"/>
      <x:c r="L62" s="3"/>
      <x:c r="M62" s="3"/>
      <x:c r="N62" s="3"/>
      <x:c r="O62" s="3"/>
      <x:c r="P62" s="3"/>
      <x:c r="Q62" s="3"/>
      <x:c r="R62" s="3"/>
    </x:row>
    <x:row r="63" ht="34" customHeight="1">
      <x:c r="A63" s="46" t="n">
        <x:v>54</x:v>
      </x:c>
      <x:c r="B63" s="46"/>
      <x:c r="C63" s="46"/>
      <x:c r="D63" s="90" t="str">
        <x:f>IF(H63="Valid",C63/B63,"")</x:f>
      </x:c>
      <x:c r="E63" s="90" t="str">
        <x:f>IF(AND(H63="Valid",ISNUMBER($L$11),$L$11&gt;0,$L$11&lt;1),$L$11,"")</x:f>
      </x:c>
      <x:c r="F63" s="90" t="str">
        <x:f>IF(ISNUMBER(E63),MAX(0,E63-'01 Setup'!$B$15*SQRT(E63*(1-E63)/B63)),"")</x:f>
      </x:c>
      <x:c r="G63" s="90" t="str">
        <x:f>IF(ISNUMBER(E63),MIN(1,E63+'01 Setup'!$B$15*SQRT(E63*(1-E63)/B63)),"")</x:f>
      </x:c>
      <x:c r="H63" s="83" t="str">
        <x:f>IF(COUNTA(B63:C63)=0,"",IF(COUNT(B63:C63)&lt;2,"Complete n and d",IF(OR(B63&lt;=0,C63&lt;0,C63&gt;B63,MOD(B63,1)&lt;&gt;0,MOD(C63,1)&lt;&gt;0),"Invalid counts","Valid")))</x:f>
      </x:c>
      <x:c r="I63" s="83" t="str">
        <x:f>IF(H63="","",IF(H63&lt;&gt;"Valid","Fix counts",IF(NOT(ISNUMBER(E63)),"Review baseline",IF(OR(B63*E63&lt;5,B63*(1-E63)&lt;5),"Sparse expected counts - review",IF(OR(D63&lt;F63,D63&gt;G63),"Outside limit - investigate","No point beyond limits")))))</x:f>
      </x:c>
      <x:c r="J63" s="3"/>
      <x:c r="K63" s="3"/>
      <x:c r="L63" s="3"/>
      <x:c r="M63" s="3"/>
      <x:c r="N63" s="3"/>
      <x:c r="O63" s="3"/>
      <x:c r="P63" s="3"/>
      <x:c r="Q63" s="3"/>
      <x:c r="R63" s="3"/>
    </x:row>
    <x:row r="64" ht="34" customHeight="1">
      <x:c r="A64" s="46" t="n">
        <x:v>55</x:v>
      </x:c>
      <x:c r="B64" s="46"/>
      <x:c r="C64" s="46"/>
      <x:c r="D64" s="90" t="str">
        <x:f>IF(H64="Valid",C64/B64,"")</x:f>
      </x:c>
      <x:c r="E64" s="90" t="str">
        <x:f>IF(AND(H64="Valid",ISNUMBER($L$11),$L$11&gt;0,$L$11&lt;1),$L$11,"")</x:f>
      </x:c>
      <x:c r="F64" s="90" t="str">
        <x:f>IF(ISNUMBER(E64),MAX(0,E64-'01 Setup'!$B$15*SQRT(E64*(1-E64)/B64)),"")</x:f>
      </x:c>
      <x:c r="G64" s="90" t="str">
        <x:f>IF(ISNUMBER(E64),MIN(1,E64+'01 Setup'!$B$15*SQRT(E64*(1-E64)/B64)),"")</x:f>
      </x:c>
      <x:c r="H64" s="83" t="str">
        <x:f>IF(COUNTA(B64:C64)=0,"",IF(COUNT(B64:C64)&lt;2,"Complete n and d",IF(OR(B64&lt;=0,C64&lt;0,C64&gt;B64,MOD(B64,1)&lt;&gt;0,MOD(C64,1)&lt;&gt;0),"Invalid counts","Valid")))</x:f>
      </x:c>
      <x:c r="I64" s="83" t="str">
        <x:f>IF(H64="","",IF(H64&lt;&gt;"Valid","Fix counts",IF(NOT(ISNUMBER(E64)),"Review baseline",IF(OR(B64*E64&lt;5,B64*(1-E64)&lt;5),"Sparse expected counts - review",IF(OR(D64&lt;F64,D64&gt;G64),"Outside limit - investigate","No point beyond limits")))))</x:f>
      </x:c>
      <x:c r="J64" s="3"/>
      <x:c r="K64" s="3"/>
      <x:c r="L64" s="3"/>
      <x:c r="M64" s="3"/>
      <x:c r="N64" s="3"/>
      <x:c r="O64" s="3"/>
      <x:c r="P64" s="3"/>
      <x:c r="Q64" s="3"/>
      <x:c r="R64" s="3"/>
    </x:row>
    <x:row r="65" ht="34" customHeight="1">
      <x:c r="A65" s="46" t="n">
        <x:v>56</x:v>
      </x:c>
      <x:c r="B65" s="46"/>
      <x:c r="C65" s="46"/>
      <x:c r="D65" s="90" t="str">
        <x:f>IF(H65="Valid",C65/B65,"")</x:f>
      </x:c>
      <x:c r="E65" s="90" t="str">
        <x:f>IF(AND(H65="Valid",ISNUMBER($L$11),$L$11&gt;0,$L$11&lt;1),$L$11,"")</x:f>
      </x:c>
      <x:c r="F65" s="90" t="str">
        <x:f>IF(ISNUMBER(E65),MAX(0,E65-'01 Setup'!$B$15*SQRT(E65*(1-E65)/B65)),"")</x:f>
      </x:c>
      <x:c r="G65" s="90" t="str">
        <x:f>IF(ISNUMBER(E65),MIN(1,E65+'01 Setup'!$B$15*SQRT(E65*(1-E65)/B65)),"")</x:f>
      </x:c>
      <x:c r="H65" s="83" t="str">
        <x:f>IF(COUNTA(B65:C65)=0,"",IF(COUNT(B65:C65)&lt;2,"Complete n and d",IF(OR(B65&lt;=0,C65&lt;0,C65&gt;B65,MOD(B65,1)&lt;&gt;0,MOD(C65,1)&lt;&gt;0),"Invalid counts","Valid")))</x:f>
      </x:c>
      <x:c r="I65" s="83" t="str">
        <x:f>IF(H65="","",IF(H65&lt;&gt;"Valid","Fix counts",IF(NOT(ISNUMBER(E65)),"Review baseline",IF(OR(B65*E65&lt;5,B65*(1-E65)&lt;5),"Sparse expected counts - review",IF(OR(D65&lt;F65,D65&gt;G65),"Outside limit - investigate","No point beyond limits")))))</x:f>
      </x:c>
      <x:c r="J65" s="3"/>
      <x:c r="K65" s="3"/>
      <x:c r="L65" s="3"/>
      <x:c r="M65" s="3"/>
      <x:c r="N65" s="3"/>
      <x:c r="O65" s="3"/>
      <x:c r="P65" s="3"/>
      <x:c r="Q65" s="3"/>
      <x:c r="R65" s="3"/>
    </x:row>
    <x:row r="66" ht="34" customHeight="1">
      <x:c r="A66" s="46" t="n">
        <x:v>57</x:v>
      </x:c>
      <x:c r="B66" s="46"/>
      <x:c r="C66" s="46"/>
      <x:c r="D66" s="90" t="str">
        <x:f>IF(H66="Valid",C66/B66,"")</x:f>
      </x:c>
      <x:c r="E66" s="90" t="str">
        <x:f>IF(AND(H66="Valid",ISNUMBER($L$11),$L$11&gt;0,$L$11&lt;1),$L$11,"")</x:f>
      </x:c>
      <x:c r="F66" s="90" t="str">
        <x:f>IF(ISNUMBER(E66),MAX(0,E66-'01 Setup'!$B$15*SQRT(E66*(1-E66)/B66)),"")</x:f>
      </x:c>
      <x:c r="G66" s="90" t="str">
        <x:f>IF(ISNUMBER(E66),MIN(1,E66+'01 Setup'!$B$15*SQRT(E66*(1-E66)/B66)),"")</x:f>
      </x:c>
      <x:c r="H66" s="83" t="str">
        <x:f>IF(COUNTA(B66:C66)=0,"",IF(COUNT(B66:C66)&lt;2,"Complete n and d",IF(OR(B66&lt;=0,C66&lt;0,C66&gt;B66,MOD(B66,1)&lt;&gt;0,MOD(C66,1)&lt;&gt;0),"Invalid counts","Valid")))</x:f>
      </x:c>
      <x:c r="I66" s="83" t="str">
        <x:f>IF(H66="","",IF(H66&lt;&gt;"Valid","Fix counts",IF(NOT(ISNUMBER(E66)),"Review baseline",IF(OR(B66*E66&lt;5,B66*(1-E66)&lt;5),"Sparse expected counts - review",IF(OR(D66&lt;F66,D66&gt;G66),"Outside limit - investigate","No point beyond limits")))))</x:f>
      </x:c>
      <x:c r="J66" s="3"/>
      <x:c r="K66" s="3"/>
      <x:c r="L66" s="3"/>
      <x:c r="M66" s="3"/>
      <x:c r="N66" s="3"/>
      <x:c r="O66" s="3"/>
      <x:c r="P66" s="3"/>
      <x:c r="Q66" s="3"/>
      <x:c r="R66" s="3"/>
    </x:row>
    <x:row r="67" ht="34" customHeight="1">
      <x:c r="A67" s="46" t="n">
        <x:v>58</x:v>
      </x:c>
      <x:c r="B67" s="46"/>
      <x:c r="C67" s="46"/>
      <x:c r="D67" s="90" t="str">
        <x:f>IF(H67="Valid",C67/B67,"")</x:f>
      </x:c>
      <x:c r="E67" s="90" t="str">
        <x:f>IF(AND(H67="Valid",ISNUMBER($L$11),$L$11&gt;0,$L$11&lt;1),$L$11,"")</x:f>
      </x:c>
      <x:c r="F67" s="90" t="str">
        <x:f>IF(ISNUMBER(E67),MAX(0,E67-'01 Setup'!$B$15*SQRT(E67*(1-E67)/B67)),"")</x:f>
      </x:c>
      <x:c r="G67" s="90" t="str">
        <x:f>IF(ISNUMBER(E67),MIN(1,E67+'01 Setup'!$B$15*SQRT(E67*(1-E67)/B67)),"")</x:f>
      </x:c>
      <x:c r="H67" s="83" t="str">
        <x:f>IF(COUNTA(B67:C67)=0,"",IF(COUNT(B67:C67)&lt;2,"Complete n and d",IF(OR(B67&lt;=0,C67&lt;0,C67&gt;B67,MOD(B67,1)&lt;&gt;0,MOD(C67,1)&lt;&gt;0),"Invalid counts","Valid")))</x:f>
      </x:c>
      <x:c r="I67" s="83" t="str">
        <x:f>IF(H67="","",IF(H67&lt;&gt;"Valid","Fix counts",IF(NOT(ISNUMBER(E67)),"Review baseline",IF(OR(B67*E67&lt;5,B67*(1-E67)&lt;5),"Sparse expected counts - review",IF(OR(D67&lt;F67,D67&gt;G67),"Outside limit - investigate","No point beyond limits")))))</x:f>
      </x:c>
      <x:c r="J67" s="3"/>
      <x:c r="K67" s="3"/>
      <x:c r="L67" s="3"/>
      <x:c r="M67" s="3"/>
      <x:c r="N67" s="3"/>
      <x:c r="O67" s="3"/>
      <x:c r="P67" s="3"/>
      <x:c r="Q67" s="3"/>
      <x:c r="R67" s="3"/>
    </x:row>
    <x:row r="68" ht="34" customHeight="1">
      <x:c r="A68" s="46" t="n">
        <x:v>59</x:v>
      </x:c>
      <x:c r="B68" s="46"/>
      <x:c r="C68" s="46"/>
      <x:c r="D68" s="90" t="str">
        <x:f>IF(H68="Valid",C68/B68,"")</x:f>
      </x:c>
      <x:c r="E68" s="90" t="str">
        <x:f>IF(AND(H68="Valid",ISNUMBER($L$11),$L$11&gt;0,$L$11&lt;1),$L$11,"")</x:f>
      </x:c>
      <x:c r="F68" s="90" t="str">
        <x:f>IF(ISNUMBER(E68),MAX(0,E68-'01 Setup'!$B$15*SQRT(E68*(1-E68)/B68)),"")</x:f>
      </x:c>
      <x:c r="G68" s="90" t="str">
        <x:f>IF(ISNUMBER(E68),MIN(1,E68+'01 Setup'!$B$15*SQRT(E68*(1-E68)/B68)),"")</x:f>
      </x:c>
      <x:c r="H68" s="83" t="str">
        <x:f>IF(COUNTA(B68:C68)=0,"",IF(COUNT(B68:C68)&lt;2,"Complete n and d",IF(OR(B68&lt;=0,C68&lt;0,C68&gt;B68,MOD(B68,1)&lt;&gt;0,MOD(C68,1)&lt;&gt;0),"Invalid counts","Valid")))</x:f>
      </x:c>
      <x:c r="I68" s="83" t="str">
        <x:f>IF(H68="","",IF(H68&lt;&gt;"Valid","Fix counts",IF(NOT(ISNUMBER(E68)),"Review baseline",IF(OR(B68*E68&lt;5,B68*(1-E68)&lt;5),"Sparse expected counts - review",IF(OR(D68&lt;F68,D68&gt;G68),"Outside limit - investigate","No point beyond limits")))))</x:f>
      </x:c>
      <x:c r="J68" s="3"/>
      <x:c r="K68" s="3"/>
      <x:c r="L68" s="3"/>
      <x:c r="M68" s="3"/>
      <x:c r="N68" s="3"/>
      <x:c r="O68" s="3"/>
      <x:c r="P68" s="3"/>
      <x:c r="Q68" s="3"/>
      <x:c r="R68" s="3"/>
    </x:row>
    <x:row r="69" ht="34" customHeight="1">
      <x:c r="A69" s="46" t="n">
        <x:v>60</x:v>
      </x:c>
      <x:c r="B69" s="46"/>
      <x:c r="C69" s="46"/>
      <x:c r="D69" s="90" t="str">
        <x:f>IF(H69="Valid",C69/B69,"")</x:f>
      </x:c>
      <x:c r="E69" s="90" t="str">
        <x:f>IF(AND(H69="Valid",ISNUMBER($L$11),$L$11&gt;0,$L$11&lt;1),$L$11,"")</x:f>
      </x:c>
      <x:c r="F69" s="90" t="str">
        <x:f>IF(ISNUMBER(E69),MAX(0,E69-'01 Setup'!$B$15*SQRT(E69*(1-E69)/B69)),"")</x:f>
      </x:c>
      <x:c r="G69" s="90" t="str">
        <x:f>IF(ISNUMBER(E69),MIN(1,E69+'01 Setup'!$B$15*SQRT(E69*(1-E69)/B69)),"")</x:f>
      </x:c>
      <x:c r="H69" s="83" t="str">
        <x:f>IF(COUNTA(B69:C69)=0,"",IF(COUNT(B69:C69)&lt;2,"Complete n and d",IF(OR(B69&lt;=0,C69&lt;0,C69&gt;B69,MOD(B69,1)&lt;&gt;0,MOD(C69,1)&lt;&gt;0),"Invalid counts","Valid")))</x:f>
      </x:c>
      <x:c r="I69" s="83" t="str">
        <x:f>IF(H69="","",IF(H69&lt;&gt;"Valid","Fix counts",IF(NOT(ISNUMBER(E69)),"Review baseline",IF(OR(B69*E69&lt;5,B69*(1-E69)&lt;5),"Sparse expected counts - review",IF(OR(D69&lt;F69,D69&gt;G69),"Outside limit - investigate","No point beyond limits")))))</x:f>
      </x:c>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17" t="str">
        <x:v>Binary nonconforming units, not defects per unit. First 20 valid baseline subgroups are required in the fixed baseline rows. Weighted p-bar = sum d / sum n. Sparse expected counts, p-bar 0 or 1, dependence, overdispersion and mixtures require analytical review. Only point-beyond-limit signals are screened.</x:v>
      </x:c>
      <x:c r="B92" s="17"/>
      <x:c r="C92" s="17"/>
      <x:c r="D92" s="17"/>
      <x:c r="E92" s="17"/>
      <x:c r="F92" s="17"/>
      <x:c r="G92" s="17"/>
      <x:c r="H92" s="17"/>
      <x:c r="I92" s="17"/>
      <x:c r="J92" s="17"/>
      <x:c r="K92" s="17"/>
      <x:c r="L92" s="17"/>
      <x:c r="M92" s="3"/>
      <x:c r="N92" s="3"/>
      <x:c r="O92" s="3"/>
      <x:c r="P92" s="3"/>
      <x:c r="Q92" s="3"/>
      <x:c r="R92" s="3"/>
    </x:row>
    <x:row r="93" ht="20" customHeight="1">
      <x:c r="A93" s="17"/>
      <x:c r="B93" s="17"/>
      <x:c r="C93" s="17"/>
      <x:c r="D93" s="17"/>
      <x:c r="E93" s="17"/>
      <x:c r="F93" s="17"/>
      <x:c r="G93" s="17"/>
      <x:c r="H93" s="17"/>
      <x:c r="I93" s="17"/>
      <x:c r="J93" s="17"/>
      <x:c r="K93" s="17"/>
      <x:c r="L93" s="17"/>
      <x:c r="M93" s="3"/>
      <x:c r="N93" s="3"/>
      <x:c r="O93" s="3"/>
      <x:c r="P93" s="3"/>
      <x:c r="Q93" s="3"/>
      <x:c r="R93" s="3"/>
    </x:row>
    <x:row r="94" ht="20" customHeight="1">
      <x:c r="A94" s="17"/>
      <x:c r="B94" s="17"/>
      <x:c r="C94" s="17"/>
      <x:c r="D94" s="17"/>
      <x:c r="E94" s="17"/>
      <x:c r="F94" s="17"/>
      <x:c r="G94" s="17"/>
      <x:c r="H94" s="17"/>
      <x:c r="I94" s="17"/>
      <x:c r="J94" s="17"/>
      <x:c r="K94" s="17"/>
      <x:c r="L94" s="17"/>
      <x:c r="M94" s="3"/>
      <x:c r="N94" s="3"/>
      <x:c r="O94" s="3"/>
      <x:c r="P94" s="3"/>
      <x:c r="Q94" s="3"/>
      <x:c r="R94" s="3"/>
    </x:row>
    <x:row r="95" ht="20" customHeight="1">
      <x:c r="A95" s="17"/>
      <x:c r="B95" s="17"/>
      <x:c r="C95" s="17"/>
      <x:c r="D95" s="17"/>
      <x:c r="E95" s="17"/>
      <x:c r="F95" s="17"/>
      <x:c r="G95" s="17"/>
      <x:c r="H95" s="17"/>
      <x:c r="I95" s="17"/>
      <x:c r="J95" s="17"/>
      <x:c r="K95" s="17"/>
      <x:c r="L95" s="17"/>
      <x:c r="M95" s="3"/>
      <x:c r="N95" s="3"/>
      <x:c r="O95" s="3"/>
      <x:c r="P95" s="3"/>
      <x:c r="Q95" s="3"/>
      <x:c r="R95" s="3"/>
    </x:row>
    <x:row r="96" ht="20" customHeight="1">
      <x:c r="A96" s="17"/>
      <x:c r="B96" s="17"/>
      <x:c r="C96" s="17"/>
      <x:c r="D96" s="17"/>
      <x:c r="E96" s="17"/>
      <x:c r="F96" s="17"/>
      <x:c r="G96" s="17"/>
      <x:c r="H96" s="17"/>
      <x:c r="I96" s="17"/>
      <x:c r="J96" s="17"/>
      <x:c r="K96" s="17"/>
      <x:c r="L96" s="17"/>
      <x:c r="M96" s="3"/>
      <x:c r="N96" s="3"/>
      <x:c r="O96" s="3"/>
      <x:c r="P96" s="3"/>
      <x:c r="Q96" s="3"/>
      <x:c r="R96" s="3"/>
    </x:row>
    <x:row r="97" ht="20" customHeight="1">
      <x:c r="A97" s="17"/>
      <x:c r="B97" s="17"/>
      <x:c r="C97" s="17"/>
      <x:c r="D97" s="17"/>
      <x:c r="E97" s="17"/>
      <x:c r="F97" s="17"/>
      <x:c r="G97" s="17"/>
      <x:c r="H97" s="17"/>
      <x:c r="I97" s="17"/>
      <x:c r="J97" s="17"/>
      <x:c r="K97" s="17"/>
      <x:c r="L97" s="17"/>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S05</x:v>
      </x:c>
      <x:c r="B110" s="34"/>
      <x:c r="C110" s="34"/>
      <x:c r="D110" s="34"/>
      <x:c r="E110" s="34"/>
      <x:c r="F110" s="34"/>
      <x:c r="G110" s="34"/>
      <x:c r="H110" s="34"/>
      <x:c r="I110" s="34"/>
      <x:c r="J110" s="34"/>
      <x:c r="K110" s="34"/>
      <x:c r="L110" s="34"/>
      <x:c r="M110" s="3"/>
      <x:c r="N110" s="3"/>
      <x:c r="O110" s="3"/>
      <x:c r="P110" s="3"/>
      <x:c r="Q110" s="3"/>
      <x:c r="R110" s="3"/>
    </x:row>
    <x:row r="111" ht="20" customHeight="1">
      <x:c r="A111" s="40" t="str">
        <x:v>01  Outcome and subgroup</x:v>
      </x:c>
      <x:c r="B111" s="40"/>
      <x:c r="C111" s="40"/>
      <x:c r="D111" s="17" t="str">
        <x:v>Define the binary event and sampling unit.</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Baseline data</x:v>
      </x:c>
      <x:c r="B117" s="40"/>
      <x:c r="C117" s="40"/>
      <x:c r="D117" s="17" t="str">
        <x:v>Record n and d for each ordered subgroup.</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Centre line</x:v>
      </x:c>
      <x:c r="B123" s="40"/>
      <x:c r="C123" s="40"/>
      <x:c r="D123" s="17" t="str">
        <x:v>Calculate the weighted baseline proportion.</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Limits</x:v>
      </x:c>
      <x:c r="B129" s="40"/>
      <x:c r="C129" s="40"/>
      <x:c r="D129" s="17" t="str">
        <x:v>Calculate limits for each subgroup size.</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Monitoring result</x:v>
      </x:c>
      <x:c r="B135" s="40"/>
      <x:c r="C135" s="40"/>
      <x:c r="D135" s="17" t="str">
        <x:v>Record observed proportion and investigation.</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Review and suitability</x:v>
      </x:c>
      <x:c r="B141" s="40"/>
      <x:c r="C141" s="40"/>
      <x:c r="D141" s="17" t="str">
        <x:v>Record assumptions, limitations and analyst decision.</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The workbook implements a basic three-sigma p-chart with point-beyond-limit flags, not all SPC rules or adjusted charts for overdispersion. Small expected counts, rare events, dependence and mixed populations can make the conventional limits misleading.</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S03, S09, S12, A05  |  METHOD SOURCES: R07</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 ref="A92:L97"/>
  </x:mergeCells>
  <x:pageMargins left="0.7" right="0.7" top="0.75" bottom="0.75" header="0.3" footer="0.3"/>
  <x:drawing xmlns:r="http://schemas.openxmlformats.org/officeDocument/2006/relationships" r:id="R38dbafea7a2c4793"/>
</x:worksheet>
</file>

<file path=xl/worksheets/sheet34.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32" hidden="0" customWidth="1"/>
    <x:col min="2" max="2" width="17" hidden="0" customWidth="1"/>
    <x:col min="3" max="3" width="24" hidden="0" customWidth="1"/>
    <x:col min="4" max="4" width="12" hidden="0" customWidth="1"/>
    <x:col min="5" max="5" width="12" hidden="0" customWidth="1"/>
    <x:col min="6" max="6" width="32" hidden="0" customWidth="1"/>
    <x:col min="7" max="7" width="19" hidden="0" customWidth="1"/>
    <x:col min="8" max="8" width="15" hidden="0" customWidth="1"/>
    <x:col min="9" max="9" width="17"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S06  Pareto analysis and priority review</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Find the largest recorded categories without assuming the 80/20 rule.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Category (input)</x:v>
      </x:c>
      <x:c r="B9" s="77" t="str">
        <x:v>Count (input)</x:v>
      </x:c>
      <x:c r="C9" s="77" t="str">
        <x:v>Check</x:v>
      </x:c>
      <x:c r="D9" s="77" t="str">
        <x:v>Rank</x:v>
      </x:c>
      <x:c r="E9" s="77" t="str">
        <x:v>Order</x:v>
      </x:c>
      <x:c r="F9" s="77" t="str">
        <x:v>Category (ranked)</x:v>
      </x:c>
      <x:c r="G9" s="77" t="str">
        <x:v>Count (ranked)</x:v>
      </x:c>
      <x:c r="H9" s="77" t="str">
        <x:v>Share</x:v>
      </x:c>
      <x:c r="I9" s="77" t="str">
        <x:v>Cumulative</x:v>
      </x:c>
      <x:c r="J9" s="3"/>
      <x:c r="K9" s="3"/>
      <x:c r="L9" s="3"/>
      <x:c r="M9" s="3"/>
      <x:c r="N9" s="3"/>
      <x:c r="O9" s="3"/>
      <x:c r="P9" s="3"/>
      <x:c r="Q9" s="3"/>
      <x:c r="R9" s="3"/>
    </x:row>
    <x:row r="10" ht="34" customHeight="1">
      <x:c r="A10" s="46"/>
      <x:c r="B10" s="46"/>
      <x:c r="C10" s="83" t="str">
        <x:f>IF(AND(A10="",B10=""),"",IF(OR(A10="",NOT(ISNUMBER(B10))),"Incomplete",IF(OR(B10&lt;0,MOD(B10,1)&lt;&gt;0),"Invalid count","Valid")))</x:f>
      </x:c>
      <x:c r="D10" s="83" t="str">
        <x:f>IF(C10="Valid",RANK(B10,$B$10:$B$29,0)+COUNTIF($B$10:B10,B10)-1,"")</x:f>
      </x:c>
      <x:c r="E10" s="46" t="n">
        <x:v>1</x:v>
      </x:c>
      <x:c r="F10" s="83" t="str">
        <x:f>IF(E10&lt;=COUNT($D$10:$D$29),IFERROR(INDEX($A$10:$A$29,MATCH(E10,$D$10:$D$29,0)),""),"")</x:f>
      </x:c>
      <x:c r="G10" s="83" t="str">
        <x:f>IF(F10&lt;&gt;"",IFERROR(INDEX($B$10:$B$29,MATCH(E10,$D$10:$D$29,0)),""),"")</x:f>
      </x:c>
      <x:c r="H10" s="90" t="str">
        <x:f>IF(AND(ISNUMBER(G10),SUM($G$10:$G$29)&gt;0,COUNTIF($C$10:$C$29,"Incomplete")+COUNTIF($C$10:$C$29,"Invalid count")=0),G10/SUM($G$10:$G$29),"")</x:f>
      </x:c>
      <x:c r="I10" s="90" t="str">
        <x:f>IF(ISNUMBER(H10),SUM($H$10:H10),"")</x:f>
      </x:c>
      <x:c r="J10" s="3"/>
      <x:c r="K10" s="3"/>
      <x:c r="L10" s="3"/>
      <x:c r="M10" s="3"/>
      <x:c r="N10" s="3"/>
      <x:c r="O10" s="3"/>
      <x:c r="P10" s="3"/>
      <x:c r="Q10" s="3"/>
      <x:c r="R10" s="3"/>
    </x:row>
    <x:row r="11" ht="34" customHeight="1">
      <x:c r="A11" s="46"/>
      <x:c r="B11" s="46"/>
      <x:c r="C11" s="83" t="str">
        <x:f>IF(AND(A11="",B11=""),"",IF(OR(A11="",NOT(ISNUMBER(B11))),"Incomplete",IF(OR(B11&lt;0,MOD(B11,1)&lt;&gt;0),"Invalid count","Valid")))</x:f>
      </x:c>
      <x:c r="D11" s="83" t="str">
        <x:f>IF(C11="Valid",RANK(B11,$B$10:$B$29,0)+COUNTIF($B$10:B11,B11)-1,"")</x:f>
      </x:c>
      <x:c r="E11" s="46" t="n">
        <x:v>2</x:v>
      </x:c>
      <x:c r="F11" s="83" t="str">
        <x:f>IF(E11&lt;=COUNT($D$10:$D$29),IFERROR(INDEX($A$10:$A$29,MATCH(E11,$D$10:$D$29,0)),""),"")</x:f>
      </x:c>
      <x:c r="G11" s="83" t="str">
        <x:f>IF(F11&lt;&gt;"",IFERROR(INDEX($B$10:$B$29,MATCH(E11,$D$10:$D$29,0)),""),"")</x:f>
      </x:c>
      <x:c r="H11" s="90" t="str">
        <x:f>IF(AND(ISNUMBER(G11),SUM($G$10:$G$29)&gt;0,COUNTIF($C$10:$C$29,"Incomplete")+COUNTIF($C$10:$C$29,"Invalid count")=0),G11/SUM($G$10:$G$29),"")</x:f>
      </x:c>
      <x:c r="I11" s="90" t="str">
        <x:f>IF(ISNUMBER(H11),SUM($H$10:H11),"")</x:f>
      </x:c>
      <x:c r="J11" s="3"/>
      <x:c r="K11" s="3"/>
      <x:c r="L11" s="3"/>
      <x:c r="M11" s="3"/>
      <x:c r="N11" s="3"/>
      <x:c r="O11" s="3"/>
      <x:c r="P11" s="3"/>
      <x:c r="Q11" s="3"/>
      <x:c r="R11" s="3"/>
    </x:row>
    <x:row r="12" ht="34" customHeight="1">
      <x:c r="A12" s="46"/>
      <x:c r="B12" s="46"/>
      <x:c r="C12" s="83" t="str">
        <x:f>IF(AND(A12="",B12=""),"",IF(OR(A12="",NOT(ISNUMBER(B12))),"Incomplete",IF(OR(B12&lt;0,MOD(B12,1)&lt;&gt;0),"Invalid count","Valid")))</x:f>
      </x:c>
      <x:c r="D12" s="83" t="str">
        <x:f>IF(C12="Valid",RANK(B12,$B$10:$B$29,0)+COUNTIF($B$10:B12,B12)-1,"")</x:f>
      </x:c>
      <x:c r="E12" s="46" t="n">
        <x:v>3</x:v>
      </x:c>
      <x:c r="F12" s="83" t="str">
        <x:f>IF(E12&lt;=COUNT($D$10:$D$29),IFERROR(INDEX($A$10:$A$29,MATCH(E12,$D$10:$D$29,0)),""),"")</x:f>
      </x:c>
      <x:c r="G12" s="83" t="str">
        <x:f>IF(F12&lt;&gt;"",IFERROR(INDEX($B$10:$B$29,MATCH(E12,$D$10:$D$29,0)),""),"")</x:f>
      </x:c>
      <x:c r="H12" s="90" t="str">
        <x:f>IF(AND(ISNUMBER(G12),SUM($G$10:$G$29)&gt;0,COUNTIF($C$10:$C$29,"Incomplete")+COUNTIF($C$10:$C$29,"Invalid count")=0),G12/SUM($G$10:$G$29),"")</x:f>
      </x:c>
      <x:c r="I12" s="90" t="str">
        <x:f>IF(ISNUMBER(H12),SUM($H$10:H12),"")</x:f>
      </x:c>
      <x:c r="J12" s="3"/>
      <x:c r="K12" s="3"/>
      <x:c r="L12" s="3"/>
      <x:c r="M12" s="3"/>
      <x:c r="N12" s="3"/>
      <x:c r="O12" s="3"/>
      <x:c r="P12" s="3"/>
      <x:c r="Q12" s="3"/>
      <x:c r="R12" s="3"/>
    </x:row>
    <x:row r="13" ht="34" customHeight="1">
      <x:c r="A13" s="46"/>
      <x:c r="B13" s="46"/>
      <x:c r="C13" s="83" t="str">
        <x:f>IF(AND(A13="",B13=""),"",IF(OR(A13="",NOT(ISNUMBER(B13))),"Incomplete",IF(OR(B13&lt;0,MOD(B13,1)&lt;&gt;0),"Invalid count","Valid")))</x:f>
      </x:c>
      <x:c r="D13" s="83" t="str">
        <x:f>IF(C13="Valid",RANK(B13,$B$10:$B$29,0)+COUNTIF($B$10:B13,B13)-1,"")</x:f>
      </x:c>
      <x:c r="E13" s="46" t="n">
        <x:v>4</x:v>
      </x:c>
      <x:c r="F13" s="83" t="str">
        <x:f>IF(E13&lt;=COUNT($D$10:$D$29),IFERROR(INDEX($A$10:$A$29,MATCH(E13,$D$10:$D$29,0)),""),"")</x:f>
      </x:c>
      <x:c r="G13" s="83" t="str">
        <x:f>IF(F13&lt;&gt;"",IFERROR(INDEX($B$10:$B$29,MATCH(E13,$D$10:$D$29,0)),""),"")</x:f>
      </x:c>
      <x:c r="H13" s="90" t="str">
        <x:f>IF(AND(ISNUMBER(G13),SUM($G$10:$G$29)&gt;0,COUNTIF($C$10:$C$29,"Incomplete")+COUNTIF($C$10:$C$29,"Invalid count")=0),G13/SUM($G$10:$G$29),"")</x:f>
      </x:c>
      <x:c r="I13" s="90" t="str">
        <x:f>IF(ISNUMBER(H13),SUM($H$10:H13),"")</x:f>
      </x:c>
      <x:c r="J13" s="3"/>
      <x:c r="K13" s="3"/>
      <x:c r="L13" s="3"/>
      <x:c r="M13" s="3"/>
      <x:c r="N13" s="3"/>
      <x:c r="O13" s="3"/>
      <x:c r="P13" s="3"/>
      <x:c r="Q13" s="3"/>
      <x:c r="R13" s="3"/>
    </x:row>
    <x:row r="14" ht="34" customHeight="1">
      <x:c r="A14" s="46"/>
      <x:c r="B14" s="46"/>
      <x:c r="C14" s="83" t="str">
        <x:f>IF(AND(A14="",B14=""),"",IF(OR(A14="",NOT(ISNUMBER(B14))),"Incomplete",IF(OR(B14&lt;0,MOD(B14,1)&lt;&gt;0),"Invalid count","Valid")))</x:f>
      </x:c>
      <x:c r="D14" s="83" t="str">
        <x:f>IF(C14="Valid",RANK(B14,$B$10:$B$29,0)+COUNTIF($B$10:B14,B14)-1,"")</x:f>
      </x:c>
      <x:c r="E14" s="46" t="n">
        <x:v>5</x:v>
      </x:c>
      <x:c r="F14" s="83" t="str">
        <x:f>IF(E14&lt;=COUNT($D$10:$D$29),IFERROR(INDEX($A$10:$A$29,MATCH(E14,$D$10:$D$29,0)),""),"")</x:f>
      </x:c>
      <x:c r="G14" s="83" t="str">
        <x:f>IF(F14&lt;&gt;"",IFERROR(INDEX($B$10:$B$29,MATCH(E14,$D$10:$D$29,0)),""),"")</x:f>
      </x:c>
      <x:c r="H14" s="90" t="str">
        <x:f>IF(AND(ISNUMBER(G14),SUM($G$10:$G$29)&gt;0,COUNTIF($C$10:$C$29,"Incomplete")+COUNTIF($C$10:$C$29,"Invalid count")=0),G14/SUM($G$10:$G$29),"")</x:f>
      </x:c>
      <x:c r="I14" s="90" t="str">
        <x:f>IF(ISNUMBER(H14),SUM($H$10:H14),"")</x:f>
      </x:c>
      <x:c r="J14" s="3"/>
      <x:c r="K14" s="3"/>
      <x:c r="L14" s="3"/>
      <x:c r="M14" s="3"/>
      <x:c r="N14" s="3"/>
      <x:c r="O14" s="3"/>
      <x:c r="P14" s="3"/>
      <x:c r="Q14" s="3"/>
      <x:c r="R14" s="3"/>
    </x:row>
    <x:row r="15" ht="34" customHeight="1">
      <x:c r="A15" s="46"/>
      <x:c r="B15" s="46"/>
      <x:c r="C15" s="83" t="str">
        <x:f>IF(AND(A15="",B15=""),"",IF(OR(A15="",NOT(ISNUMBER(B15))),"Incomplete",IF(OR(B15&lt;0,MOD(B15,1)&lt;&gt;0),"Invalid count","Valid")))</x:f>
      </x:c>
      <x:c r="D15" s="83" t="str">
        <x:f>IF(C15="Valid",RANK(B15,$B$10:$B$29,0)+COUNTIF($B$10:B15,B15)-1,"")</x:f>
      </x:c>
      <x:c r="E15" s="46" t="n">
        <x:v>6</x:v>
      </x:c>
      <x:c r="F15" s="83" t="str">
        <x:f>IF(E15&lt;=COUNT($D$10:$D$29),IFERROR(INDEX($A$10:$A$29,MATCH(E15,$D$10:$D$29,0)),""),"")</x:f>
      </x:c>
      <x:c r="G15" s="83" t="str">
        <x:f>IF(F15&lt;&gt;"",IFERROR(INDEX($B$10:$B$29,MATCH(E15,$D$10:$D$29,0)),""),"")</x:f>
      </x:c>
      <x:c r="H15" s="90" t="str">
        <x:f>IF(AND(ISNUMBER(G15),SUM($G$10:$G$29)&gt;0,COUNTIF($C$10:$C$29,"Incomplete")+COUNTIF($C$10:$C$29,"Invalid count")=0),G15/SUM($G$10:$G$29),"")</x:f>
      </x:c>
      <x:c r="I15" s="90" t="str">
        <x:f>IF(ISNUMBER(H15),SUM($H$10:H15),"")</x:f>
      </x:c>
      <x:c r="J15" s="3"/>
      <x:c r="K15" s="3"/>
      <x:c r="L15" s="3"/>
      <x:c r="M15" s="3"/>
      <x:c r="N15" s="3"/>
      <x:c r="O15" s="3"/>
      <x:c r="P15" s="3"/>
      <x:c r="Q15" s="3"/>
      <x:c r="R15" s="3"/>
    </x:row>
    <x:row r="16" ht="34" customHeight="1">
      <x:c r="A16" s="46"/>
      <x:c r="B16" s="46"/>
      <x:c r="C16" s="83" t="str">
        <x:f>IF(AND(A16="",B16=""),"",IF(OR(A16="",NOT(ISNUMBER(B16))),"Incomplete",IF(OR(B16&lt;0,MOD(B16,1)&lt;&gt;0),"Invalid count","Valid")))</x:f>
      </x:c>
      <x:c r="D16" s="83" t="str">
        <x:f>IF(C16="Valid",RANK(B16,$B$10:$B$29,0)+COUNTIF($B$10:B16,B16)-1,"")</x:f>
      </x:c>
      <x:c r="E16" s="46" t="n">
        <x:v>7</x:v>
      </x:c>
      <x:c r="F16" s="83" t="str">
        <x:f>IF(E16&lt;=COUNT($D$10:$D$29),IFERROR(INDEX($A$10:$A$29,MATCH(E16,$D$10:$D$29,0)),""),"")</x:f>
      </x:c>
      <x:c r="G16" s="83" t="str">
        <x:f>IF(F16&lt;&gt;"",IFERROR(INDEX($B$10:$B$29,MATCH(E16,$D$10:$D$29,0)),""),"")</x:f>
      </x:c>
      <x:c r="H16" s="90" t="str">
        <x:f>IF(AND(ISNUMBER(G16),SUM($G$10:$G$29)&gt;0,COUNTIF($C$10:$C$29,"Incomplete")+COUNTIF($C$10:$C$29,"Invalid count")=0),G16/SUM($G$10:$G$29),"")</x:f>
      </x:c>
      <x:c r="I16" s="90" t="str">
        <x:f>IF(ISNUMBER(H16),SUM($H$10:H16),"")</x:f>
      </x:c>
      <x:c r="J16" s="3"/>
      <x:c r="K16" s="3"/>
      <x:c r="L16" s="3"/>
      <x:c r="M16" s="3"/>
      <x:c r="N16" s="3"/>
      <x:c r="O16" s="3"/>
      <x:c r="P16" s="3"/>
      <x:c r="Q16" s="3"/>
      <x:c r="R16" s="3"/>
    </x:row>
    <x:row r="17" ht="34" customHeight="1">
      <x:c r="A17" s="46"/>
      <x:c r="B17" s="46"/>
      <x:c r="C17" s="83" t="str">
        <x:f>IF(AND(A17="",B17=""),"",IF(OR(A17="",NOT(ISNUMBER(B17))),"Incomplete",IF(OR(B17&lt;0,MOD(B17,1)&lt;&gt;0),"Invalid count","Valid")))</x:f>
      </x:c>
      <x:c r="D17" s="83" t="str">
        <x:f>IF(C17="Valid",RANK(B17,$B$10:$B$29,0)+COUNTIF($B$10:B17,B17)-1,"")</x:f>
      </x:c>
      <x:c r="E17" s="46" t="n">
        <x:v>8</x:v>
      </x:c>
      <x:c r="F17" s="83" t="str">
        <x:f>IF(E17&lt;=COUNT($D$10:$D$29),IFERROR(INDEX($A$10:$A$29,MATCH(E17,$D$10:$D$29,0)),""),"")</x:f>
      </x:c>
      <x:c r="G17" s="83" t="str">
        <x:f>IF(F17&lt;&gt;"",IFERROR(INDEX($B$10:$B$29,MATCH(E17,$D$10:$D$29,0)),""),"")</x:f>
      </x:c>
      <x:c r="H17" s="90" t="str">
        <x:f>IF(AND(ISNUMBER(G17),SUM($G$10:$G$29)&gt;0,COUNTIF($C$10:$C$29,"Incomplete")+COUNTIF($C$10:$C$29,"Invalid count")=0),G17/SUM($G$10:$G$29),"")</x:f>
      </x:c>
      <x:c r="I17" s="90" t="str">
        <x:f>IF(ISNUMBER(H17),SUM($H$10:H17),"")</x:f>
      </x:c>
      <x:c r="J17" s="3"/>
      <x:c r="K17" s="3"/>
      <x:c r="L17" s="3"/>
      <x:c r="M17" s="3"/>
      <x:c r="N17" s="3"/>
      <x:c r="O17" s="3"/>
      <x:c r="P17" s="3"/>
      <x:c r="Q17" s="3"/>
      <x:c r="R17" s="3"/>
    </x:row>
    <x:row r="18" ht="34" customHeight="1">
      <x:c r="A18" s="46"/>
      <x:c r="B18" s="46"/>
      <x:c r="C18" s="83" t="str">
        <x:f>IF(AND(A18="",B18=""),"",IF(OR(A18="",NOT(ISNUMBER(B18))),"Incomplete",IF(OR(B18&lt;0,MOD(B18,1)&lt;&gt;0),"Invalid count","Valid")))</x:f>
      </x:c>
      <x:c r="D18" s="83" t="str">
        <x:f>IF(C18="Valid",RANK(B18,$B$10:$B$29,0)+COUNTIF($B$10:B18,B18)-1,"")</x:f>
      </x:c>
      <x:c r="E18" s="46" t="n">
        <x:v>9</x:v>
      </x:c>
      <x:c r="F18" s="83" t="str">
        <x:f>IF(E18&lt;=COUNT($D$10:$D$29),IFERROR(INDEX($A$10:$A$29,MATCH(E18,$D$10:$D$29,0)),""),"")</x:f>
      </x:c>
      <x:c r="G18" s="83" t="str">
        <x:f>IF(F18&lt;&gt;"",IFERROR(INDEX($B$10:$B$29,MATCH(E18,$D$10:$D$29,0)),""),"")</x:f>
      </x:c>
      <x:c r="H18" s="90" t="str">
        <x:f>IF(AND(ISNUMBER(G18),SUM($G$10:$G$29)&gt;0,COUNTIF($C$10:$C$29,"Incomplete")+COUNTIF($C$10:$C$29,"Invalid count")=0),G18/SUM($G$10:$G$29),"")</x:f>
      </x:c>
      <x:c r="I18" s="90" t="str">
        <x:f>IF(ISNUMBER(H18),SUM($H$10:H18),"")</x:f>
      </x:c>
      <x:c r="J18" s="3"/>
      <x:c r="K18" s="3"/>
      <x:c r="L18" s="3"/>
      <x:c r="M18" s="3"/>
      <x:c r="N18" s="3"/>
      <x:c r="O18" s="3"/>
      <x:c r="P18" s="3"/>
      <x:c r="Q18" s="3"/>
      <x:c r="R18" s="3"/>
    </x:row>
    <x:row r="19" ht="34" customHeight="1">
      <x:c r="A19" s="46"/>
      <x:c r="B19" s="46"/>
      <x:c r="C19" s="83" t="str">
        <x:f>IF(AND(A19="",B19=""),"",IF(OR(A19="",NOT(ISNUMBER(B19))),"Incomplete",IF(OR(B19&lt;0,MOD(B19,1)&lt;&gt;0),"Invalid count","Valid")))</x:f>
      </x:c>
      <x:c r="D19" s="83" t="str">
        <x:f>IF(C19="Valid",RANK(B19,$B$10:$B$29,0)+COUNTIF($B$10:B19,B19)-1,"")</x:f>
      </x:c>
      <x:c r="E19" s="46" t="n">
        <x:v>10</x:v>
      </x:c>
      <x:c r="F19" s="83" t="str">
        <x:f>IF(E19&lt;=COUNT($D$10:$D$29),IFERROR(INDEX($A$10:$A$29,MATCH(E19,$D$10:$D$29,0)),""),"")</x:f>
      </x:c>
      <x:c r="G19" s="83" t="str">
        <x:f>IF(F19&lt;&gt;"",IFERROR(INDEX($B$10:$B$29,MATCH(E19,$D$10:$D$29,0)),""),"")</x:f>
      </x:c>
      <x:c r="H19" s="90" t="str">
        <x:f>IF(AND(ISNUMBER(G19),SUM($G$10:$G$29)&gt;0,COUNTIF($C$10:$C$29,"Incomplete")+COUNTIF($C$10:$C$29,"Invalid count")=0),G19/SUM($G$10:$G$29),"")</x:f>
      </x:c>
      <x:c r="I19" s="90" t="str">
        <x:f>IF(ISNUMBER(H19),SUM($H$10:H19),"")</x:f>
      </x:c>
      <x:c r="J19" s="3"/>
      <x:c r="K19" s="3"/>
      <x:c r="L19" s="3"/>
      <x:c r="M19" s="3"/>
      <x:c r="N19" s="3"/>
      <x:c r="O19" s="3"/>
      <x:c r="P19" s="3"/>
      <x:c r="Q19" s="3"/>
      <x:c r="R19" s="3"/>
    </x:row>
    <x:row r="20" ht="34" customHeight="1">
      <x:c r="A20" s="46"/>
      <x:c r="B20" s="46"/>
      <x:c r="C20" s="83" t="str">
        <x:f>IF(AND(A20="",B20=""),"",IF(OR(A20="",NOT(ISNUMBER(B20))),"Incomplete",IF(OR(B20&lt;0,MOD(B20,1)&lt;&gt;0),"Invalid count","Valid")))</x:f>
      </x:c>
      <x:c r="D20" s="83" t="str">
        <x:f>IF(C20="Valid",RANK(B20,$B$10:$B$29,0)+COUNTIF($B$10:B20,B20)-1,"")</x:f>
      </x:c>
      <x:c r="E20" s="46" t="n">
        <x:v>11</x:v>
      </x:c>
      <x:c r="F20" s="83" t="str">
        <x:f>IF(E20&lt;=COUNT($D$10:$D$29),IFERROR(INDEX($A$10:$A$29,MATCH(E20,$D$10:$D$29,0)),""),"")</x:f>
      </x:c>
      <x:c r="G20" s="83" t="str">
        <x:f>IF(F20&lt;&gt;"",IFERROR(INDEX($B$10:$B$29,MATCH(E20,$D$10:$D$29,0)),""),"")</x:f>
      </x:c>
      <x:c r="H20" s="90" t="str">
        <x:f>IF(AND(ISNUMBER(G20),SUM($G$10:$G$29)&gt;0,COUNTIF($C$10:$C$29,"Incomplete")+COUNTIF($C$10:$C$29,"Invalid count")=0),G20/SUM($G$10:$G$29),"")</x:f>
      </x:c>
      <x:c r="I20" s="90" t="str">
        <x:f>IF(ISNUMBER(H20),SUM($H$10:H20),"")</x:f>
      </x:c>
      <x:c r="J20" s="3"/>
      <x:c r="K20" s="3"/>
      <x:c r="L20" s="3"/>
      <x:c r="M20" s="3"/>
      <x:c r="N20" s="3"/>
      <x:c r="O20" s="3"/>
      <x:c r="P20" s="3"/>
      <x:c r="Q20" s="3"/>
      <x:c r="R20" s="3"/>
    </x:row>
    <x:row r="21" ht="34" customHeight="1">
      <x:c r="A21" s="46"/>
      <x:c r="B21" s="46"/>
      <x:c r="C21" s="83" t="str">
        <x:f>IF(AND(A21="",B21=""),"",IF(OR(A21="",NOT(ISNUMBER(B21))),"Incomplete",IF(OR(B21&lt;0,MOD(B21,1)&lt;&gt;0),"Invalid count","Valid")))</x:f>
      </x:c>
      <x:c r="D21" s="83" t="str">
        <x:f>IF(C21="Valid",RANK(B21,$B$10:$B$29,0)+COUNTIF($B$10:B21,B21)-1,"")</x:f>
      </x:c>
      <x:c r="E21" s="46" t="n">
        <x:v>12</x:v>
      </x:c>
      <x:c r="F21" s="83" t="str">
        <x:f>IF(E21&lt;=COUNT($D$10:$D$29),IFERROR(INDEX($A$10:$A$29,MATCH(E21,$D$10:$D$29,0)),""),"")</x:f>
      </x:c>
      <x:c r="G21" s="83" t="str">
        <x:f>IF(F21&lt;&gt;"",IFERROR(INDEX($B$10:$B$29,MATCH(E21,$D$10:$D$29,0)),""),"")</x:f>
      </x:c>
      <x:c r="H21" s="90" t="str">
        <x:f>IF(AND(ISNUMBER(G21),SUM($G$10:$G$29)&gt;0,COUNTIF($C$10:$C$29,"Incomplete")+COUNTIF($C$10:$C$29,"Invalid count")=0),G21/SUM($G$10:$G$29),"")</x:f>
      </x:c>
      <x:c r="I21" s="90" t="str">
        <x:f>IF(ISNUMBER(H21),SUM($H$10:H21),"")</x:f>
      </x:c>
      <x:c r="J21" s="3"/>
      <x:c r="K21" s="3"/>
      <x:c r="L21" s="3"/>
      <x:c r="M21" s="3"/>
      <x:c r="N21" s="3"/>
      <x:c r="O21" s="3"/>
      <x:c r="P21" s="3"/>
      <x:c r="Q21" s="3"/>
      <x:c r="R21" s="3"/>
    </x:row>
    <x:row r="22" ht="34" customHeight="1">
      <x:c r="A22" s="46"/>
      <x:c r="B22" s="46"/>
      <x:c r="C22" s="83" t="str">
        <x:f>IF(AND(A22="",B22=""),"",IF(OR(A22="",NOT(ISNUMBER(B22))),"Incomplete",IF(OR(B22&lt;0,MOD(B22,1)&lt;&gt;0),"Invalid count","Valid")))</x:f>
      </x:c>
      <x:c r="D22" s="83" t="str">
        <x:f>IF(C22="Valid",RANK(B22,$B$10:$B$29,0)+COUNTIF($B$10:B22,B22)-1,"")</x:f>
      </x:c>
      <x:c r="E22" s="46" t="n">
        <x:v>13</x:v>
      </x:c>
      <x:c r="F22" s="83" t="str">
        <x:f>IF(E22&lt;=COUNT($D$10:$D$29),IFERROR(INDEX($A$10:$A$29,MATCH(E22,$D$10:$D$29,0)),""),"")</x:f>
      </x:c>
      <x:c r="G22" s="83" t="str">
        <x:f>IF(F22&lt;&gt;"",IFERROR(INDEX($B$10:$B$29,MATCH(E22,$D$10:$D$29,0)),""),"")</x:f>
      </x:c>
      <x:c r="H22" s="90" t="str">
        <x:f>IF(AND(ISNUMBER(G22),SUM($G$10:$G$29)&gt;0,COUNTIF($C$10:$C$29,"Incomplete")+COUNTIF($C$10:$C$29,"Invalid count")=0),G22/SUM($G$10:$G$29),"")</x:f>
      </x:c>
      <x:c r="I22" s="90" t="str">
        <x:f>IF(ISNUMBER(H22),SUM($H$10:H22),"")</x:f>
      </x:c>
      <x:c r="J22" s="3"/>
      <x:c r="K22" s="3"/>
      <x:c r="L22" s="3"/>
      <x:c r="M22" s="3"/>
      <x:c r="N22" s="3"/>
      <x:c r="O22" s="3"/>
      <x:c r="P22" s="3"/>
      <x:c r="Q22" s="3"/>
      <x:c r="R22" s="3"/>
    </x:row>
    <x:row r="23" ht="34" customHeight="1">
      <x:c r="A23" s="46"/>
      <x:c r="B23" s="46"/>
      <x:c r="C23" s="83" t="str">
        <x:f>IF(AND(A23="",B23=""),"",IF(OR(A23="",NOT(ISNUMBER(B23))),"Incomplete",IF(OR(B23&lt;0,MOD(B23,1)&lt;&gt;0),"Invalid count","Valid")))</x:f>
      </x:c>
      <x:c r="D23" s="83" t="str">
        <x:f>IF(C23="Valid",RANK(B23,$B$10:$B$29,0)+COUNTIF($B$10:B23,B23)-1,"")</x:f>
      </x:c>
      <x:c r="E23" s="46" t="n">
        <x:v>14</x:v>
      </x:c>
      <x:c r="F23" s="83" t="str">
        <x:f>IF(E23&lt;=COUNT($D$10:$D$29),IFERROR(INDEX($A$10:$A$29,MATCH(E23,$D$10:$D$29,0)),""),"")</x:f>
      </x:c>
      <x:c r="G23" s="83" t="str">
        <x:f>IF(F23&lt;&gt;"",IFERROR(INDEX($B$10:$B$29,MATCH(E23,$D$10:$D$29,0)),""),"")</x:f>
      </x:c>
      <x:c r="H23" s="90" t="str">
        <x:f>IF(AND(ISNUMBER(G23),SUM($G$10:$G$29)&gt;0,COUNTIF($C$10:$C$29,"Incomplete")+COUNTIF($C$10:$C$29,"Invalid count")=0),G23/SUM($G$10:$G$29),"")</x:f>
      </x:c>
      <x:c r="I23" s="90" t="str">
        <x:f>IF(ISNUMBER(H23),SUM($H$10:H23),"")</x:f>
      </x:c>
      <x:c r="J23" s="3"/>
      <x:c r="K23" s="3"/>
      <x:c r="L23" s="3"/>
      <x:c r="M23" s="3"/>
      <x:c r="N23" s="3"/>
      <x:c r="O23" s="3"/>
      <x:c r="P23" s="3"/>
      <x:c r="Q23" s="3"/>
      <x:c r="R23" s="3"/>
    </x:row>
    <x:row r="24" ht="34" customHeight="1">
      <x:c r="A24" s="46"/>
      <x:c r="B24" s="46"/>
      <x:c r="C24" s="83" t="str">
        <x:f>IF(AND(A24="",B24=""),"",IF(OR(A24="",NOT(ISNUMBER(B24))),"Incomplete",IF(OR(B24&lt;0,MOD(B24,1)&lt;&gt;0),"Invalid count","Valid")))</x:f>
      </x:c>
      <x:c r="D24" s="83" t="str">
        <x:f>IF(C24="Valid",RANK(B24,$B$10:$B$29,0)+COUNTIF($B$10:B24,B24)-1,"")</x:f>
      </x:c>
      <x:c r="E24" s="46" t="n">
        <x:v>15</x:v>
      </x:c>
      <x:c r="F24" s="83" t="str">
        <x:f>IF(E24&lt;=COUNT($D$10:$D$29),IFERROR(INDEX($A$10:$A$29,MATCH(E24,$D$10:$D$29,0)),""),"")</x:f>
      </x:c>
      <x:c r="G24" s="83" t="str">
        <x:f>IF(F24&lt;&gt;"",IFERROR(INDEX($B$10:$B$29,MATCH(E24,$D$10:$D$29,0)),""),"")</x:f>
      </x:c>
      <x:c r="H24" s="90" t="str">
        <x:f>IF(AND(ISNUMBER(G24),SUM($G$10:$G$29)&gt;0,COUNTIF($C$10:$C$29,"Incomplete")+COUNTIF($C$10:$C$29,"Invalid count")=0),G24/SUM($G$10:$G$29),"")</x:f>
      </x:c>
      <x:c r="I24" s="90" t="str">
        <x:f>IF(ISNUMBER(H24),SUM($H$10:H24),"")</x:f>
      </x:c>
      <x:c r="J24" s="3"/>
      <x:c r="K24" s="3"/>
      <x:c r="L24" s="3"/>
      <x:c r="M24" s="3"/>
      <x:c r="N24" s="3"/>
      <x:c r="O24" s="3"/>
      <x:c r="P24" s="3"/>
      <x:c r="Q24" s="3"/>
      <x:c r="R24" s="3"/>
    </x:row>
    <x:row r="25" ht="34" customHeight="1">
      <x:c r="A25" s="46"/>
      <x:c r="B25" s="46"/>
      <x:c r="C25" s="83" t="str">
        <x:f>IF(AND(A25="",B25=""),"",IF(OR(A25="",NOT(ISNUMBER(B25))),"Incomplete",IF(OR(B25&lt;0,MOD(B25,1)&lt;&gt;0),"Invalid count","Valid")))</x:f>
      </x:c>
      <x:c r="D25" s="83" t="str">
        <x:f>IF(C25="Valid",RANK(B25,$B$10:$B$29,0)+COUNTIF($B$10:B25,B25)-1,"")</x:f>
      </x:c>
      <x:c r="E25" s="46" t="n">
        <x:v>16</x:v>
      </x:c>
      <x:c r="F25" s="83" t="str">
        <x:f>IF(E25&lt;=COUNT($D$10:$D$29),IFERROR(INDEX($A$10:$A$29,MATCH(E25,$D$10:$D$29,0)),""),"")</x:f>
      </x:c>
      <x:c r="G25" s="83" t="str">
        <x:f>IF(F25&lt;&gt;"",IFERROR(INDEX($B$10:$B$29,MATCH(E25,$D$10:$D$29,0)),""),"")</x:f>
      </x:c>
      <x:c r="H25" s="90" t="str">
        <x:f>IF(AND(ISNUMBER(G25),SUM($G$10:$G$29)&gt;0,COUNTIF($C$10:$C$29,"Incomplete")+COUNTIF($C$10:$C$29,"Invalid count")=0),G25/SUM($G$10:$G$29),"")</x:f>
      </x:c>
      <x:c r="I25" s="90" t="str">
        <x:f>IF(ISNUMBER(H25),SUM($H$10:H25),"")</x:f>
      </x:c>
      <x:c r="J25" s="3"/>
      <x:c r="K25" s="3"/>
      <x:c r="L25" s="3"/>
      <x:c r="M25" s="3"/>
      <x:c r="N25" s="3"/>
      <x:c r="O25" s="3"/>
      <x:c r="P25" s="3"/>
      <x:c r="Q25" s="3"/>
      <x:c r="R25" s="3"/>
    </x:row>
    <x:row r="26" ht="34" customHeight="1">
      <x:c r="A26" s="46"/>
      <x:c r="B26" s="46"/>
      <x:c r="C26" s="83" t="str">
        <x:f>IF(AND(A26="",B26=""),"",IF(OR(A26="",NOT(ISNUMBER(B26))),"Incomplete",IF(OR(B26&lt;0,MOD(B26,1)&lt;&gt;0),"Invalid count","Valid")))</x:f>
      </x:c>
      <x:c r="D26" s="83" t="str">
        <x:f>IF(C26="Valid",RANK(B26,$B$10:$B$29,0)+COUNTIF($B$10:B26,B26)-1,"")</x:f>
      </x:c>
      <x:c r="E26" s="46" t="n">
        <x:v>17</x:v>
      </x:c>
      <x:c r="F26" s="83" t="str">
        <x:f>IF(E26&lt;=COUNT($D$10:$D$29),IFERROR(INDEX($A$10:$A$29,MATCH(E26,$D$10:$D$29,0)),""),"")</x:f>
      </x:c>
      <x:c r="G26" s="83" t="str">
        <x:f>IF(F26&lt;&gt;"",IFERROR(INDEX($B$10:$B$29,MATCH(E26,$D$10:$D$29,0)),""),"")</x:f>
      </x:c>
      <x:c r="H26" s="90" t="str">
        <x:f>IF(AND(ISNUMBER(G26),SUM($G$10:$G$29)&gt;0,COUNTIF($C$10:$C$29,"Incomplete")+COUNTIF($C$10:$C$29,"Invalid count")=0),G26/SUM($G$10:$G$29),"")</x:f>
      </x:c>
      <x:c r="I26" s="90" t="str">
        <x:f>IF(ISNUMBER(H26),SUM($H$10:H26),"")</x:f>
      </x:c>
      <x:c r="J26" s="3"/>
      <x:c r="K26" s="3"/>
      <x:c r="L26" s="3"/>
      <x:c r="M26" s="3"/>
      <x:c r="N26" s="3"/>
      <x:c r="O26" s="3"/>
      <x:c r="P26" s="3"/>
      <x:c r="Q26" s="3"/>
      <x:c r="R26" s="3"/>
    </x:row>
    <x:row r="27" ht="34" customHeight="1">
      <x:c r="A27" s="46"/>
      <x:c r="B27" s="46"/>
      <x:c r="C27" s="83" t="str">
        <x:f>IF(AND(A27="",B27=""),"",IF(OR(A27="",NOT(ISNUMBER(B27))),"Incomplete",IF(OR(B27&lt;0,MOD(B27,1)&lt;&gt;0),"Invalid count","Valid")))</x:f>
      </x:c>
      <x:c r="D27" s="83" t="str">
        <x:f>IF(C27="Valid",RANK(B27,$B$10:$B$29,0)+COUNTIF($B$10:B27,B27)-1,"")</x:f>
      </x:c>
      <x:c r="E27" s="46" t="n">
        <x:v>18</x:v>
      </x:c>
      <x:c r="F27" s="83" t="str">
        <x:f>IF(E27&lt;=COUNT($D$10:$D$29),IFERROR(INDEX($A$10:$A$29,MATCH(E27,$D$10:$D$29,0)),""),"")</x:f>
      </x:c>
      <x:c r="G27" s="83" t="str">
        <x:f>IF(F27&lt;&gt;"",IFERROR(INDEX($B$10:$B$29,MATCH(E27,$D$10:$D$29,0)),""),"")</x:f>
      </x:c>
      <x:c r="H27" s="90" t="str">
        <x:f>IF(AND(ISNUMBER(G27),SUM($G$10:$G$29)&gt;0,COUNTIF($C$10:$C$29,"Incomplete")+COUNTIF($C$10:$C$29,"Invalid count")=0),G27/SUM($G$10:$G$29),"")</x:f>
      </x:c>
      <x:c r="I27" s="90" t="str">
        <x:f>IF(ISNUMBER(H27),SUM($H$10:H27),"")</x:f>
      </x:c>
      <x:c r="J27" s="3"/>
      <x:c r="K27" s="3"/>
      <x:c r="L27" s="3"/>
      <x:c r="M27" s="3"/>
      <x:c r="N27" s="3"/>
      <x:c r="O27" s="3"/>
      <x:c r="P27" s="3"/>
      <x:c r="Q27" s="3"/>
      <x:c r="R27" s="3"/>
    </x:row>
    <x:row r="28" ht="34" customHeight="1">
      <x:c r="A28" s="46"/>
      <x:c r="B28" s="46"/>
      <x:c r="C28" s="83" t="str">
        <x:f>IF(AND(A28="",B28=""),"",IF(OR(A28="",NOT(ISNUMBER(B28))),"Incomplete",IF(OR(B28&lt;0,MOD(B28,1)&lt;&gt;0),"Invalid count","Valid")))</x:f>
      </x:c>
      <x:c r="D28" s="83" t="str">
        <x:f>IF(C28="Valid",RANK(B28,$B$10:$B$29,0)+COUNTIF($B$10:B28,B28)-1,"")</x:f>
      </x:c>
      <x:c r="E28" s="46" t="n">
        <x:v>19</x:v>
      </x:c>
      <x:c r="F28" s="83" t="str">
        <x:f>IF(E28&lt;=COUNT($D$10:$D$29),IFERROR(INDEX($A$10:$A$29,MATCH(E28,$D$10:$D$29,0)),""),"")</x:f>
      </x:c>
      <x:c r="G28" s="83" t="str">
        <x:f>IF(F28&lt;&gt;"",IFERROR(INDEX($B$10:$B$29,MATCH(E28,$D$10:$D$29,0)),""),"")</x:f>
      </x:c>
      <x:c r="H28" s="90" t="str">
        <x:f>IF(AND(ISNUMBER(G28),SUM($G$10:$G$29)&gt;0,COUNTIF($C$10:$C$29,"Incomplete")+COUNTIF($C$10:$C$29,"Invalid count")=0),G28/SUM($G$10:$G$29),"")</x:f>
      </x:c>
      <x:c r="I28" s="90" t="str">
        <x:f>IF(ISNUMBER(H28),SUM($H$10:H28),"")</x:f>
      </x:c>
      <x:c r="J28" s="3"/>
      <x:c r="K28" s="3"/>
      <x:c r="L28" s="3"/>
      <x:c r="M28" s="3"/>
      <x:c r="N28" s="3"/>
      <x:c r="O28" s="3"/>
      <x:c r="P28" s="3"/>
      <x:c r="Q28" s="3"/>
      <x:c r="R28" s="3"/>
    </x:row>
    <x:row r="29" ht="34" customHeight="1">
      <x:c r="A29" s="46"/>
      <x:c r="B29" s="46"/>
      <x:c r="C29" s="83" t="str">
        <x:f>IF(AND(A29="",B29=""),"",IF(OR(A29="",NOT(ISNUMBER(B29))),"Incomplete",IF(OR(B29&lt;0,MOD(B29,1)&lt;&gt;0),"Invalid count","Valid")))</x:f>
      </x:c>
      <x:c r="D29" s="83" t="str">
        <x:f>IF(C29="Valid",RANK(B29,$B$10:$B$29,0)+COUNTIF($B$10:B29,B29)-1,"")</x:f>
      </x:c>
      <x:c r="E29" s="46" t="n">
        <x:v>20</x:v>
      </x:c>
      <x:c r="F29" s="83" t="str">
        <x:f>IF(E29&lt;=COUNT($D$10:$D$29),IFERROR(INDEX($A$10:$A$29,MATCH(E29,$D$10:$D$29,0)),""),"")</x:f>
      </x:c>
      <x:c r="G29" s="83" t="str">
        <x:f>IF(F29&lt;&gt;"",IFERROR(INDEX($B$10:$B$29,MATCH(E29,$D$10:$D$29,0)),""),"")</x:f>
      </x:c>
      <x:c r="H29" s="90" t="str">
        <x:f>IF(AND(ISNUMBER(G29),SUM($G$10:$G$29)&gt;0,COUNTIF($C$10:$C$29,"Incomplete")+COUNTIF($C$10:$C$29,"Invalid count")=0),G29/SUM($G$10:$G$29),"")</x:f>
      </x:c>
      <x:c r="I29" s="90" t="str">
        <x:f>IF(ISNUMBER(H29),SUM($H$10:H29),"")</x:f>
      </x:c>
      <x:c r="J29" s="3"/>
      <x:c r="K29" s="3"/>
      <x:c r="L29" s="3"/>
      <x:c r="M29" s="3"/>
      <x:c r="N29" s="3"/>
      <x:c r="O29" s="3"/>
      <x:c r="P29" s="3"/>
      <x:c r="Q29" s="3"/>
      <x:c r="R29" s="3"/>
    </x:row>
    <x:row r="30" ht="20" customHeight="1">
      <x:c r="A30" s="3"/>
      <x:c r="B30" s="3"/>
      <x:c r="C30" s="3"/>
      <x:c r="D30" s="3"/>
      <x:c r="E30" s="3"/>
      <x:c r="F30" s="3"/>
      <x:c r="G30" s="3"/>
      <x:c r="H30" s="3"/>
      <x:c r="I30" s="3"/>
      <x:c r="J30" s="3"/>
      <x:c r="K30" s="3"/>
      <x:c r="L30" s="3"/>
      <x:c r="M30" s="3"/>
      <x:c r="N30" s="3"/>
      <x:c r="O30" s="3"/>
      <x:c r="P30" s="3"/>
      <x:c r="Q30" s="3"/>
      <x:c r="R30" s="3"/>
    </x:row>
    <x:row r="31" ht="20" customHeight="1">
      <x:c r="A31" s="3"/>
      <x:c r="B31" s="3"/>
      <x:c r="C31" s="3"/>
      <x:c r="D31" s="3"/>
      <x:c r="E31" s="3"/>
      <x:c r="F31" s="3"/>
      <x:c r="G31" s="3"/>
      <x:c r="H31" s="3"/>
      <x:c r="I31" s="3"/>
      <x:c r="J31" s="3"/>
      <x:c r="K31" s="3"/>
      <x:c r="L31" s="3"/>
      <x:c r="M31" s="3"/>
      <x:c r="N31" s="3"/>
      <x:c r="O31" s="3"/>
      <x:c r="P31" s="3"/>
      <x:c r="Q31" s="3"/>
      <x:c r="R31" s="3"/>
    </x:row>
    <x:row r="32" ht="20" customHeight="1">
      <x:c r="A32" s="17" t="str">
        <x:v>Counts are sorted descending with deterministic tie order. Shares are suppressed when any entered category is incomplete/invalid or the total is zero. Counts are not severity. A rare serious failure still requires attention.</x:v>
      </x:c>
      <x:c r="B32" s="17"/>
      <x:c r="C32" s="17"/>
      <x:c r="D32" s="17"/>
      <x:c r="E32" s="17"/>
      <x:c r="F32" s="17"/>
      <x:c r="G32" s="17"/>
      <x:c r="H32" s="17"/>
      <x:c r="I32" s="17"/>
      <x:c r="J32" s="17"/>
      <x:c r="K32" s="17"/>
      <x:c r="L32" s="17"/>
      <x:c r="M32" s="3"/>
      <x:c r="N32" s="3"/>
      <x:c r="O32" s="3"/>
      <x:c r="P32" s="3"/>
      <x:c r="Q32" s="3"/>
      <x:c r="R32" s="3"/>
    </x:row>
    <x:row r="33" ht="20" customHeight="1">
      <x:c r="A33" s="17"/>
      <x:c r="B33" s="17"/>
      <x:c r="C33" s="17"/>
      <x:c r="D33" s="17"/>
      <x:c r="E33" s="17"/>
      <x:c r="F33" s="17"/>
      <x:c r="G33" s="17"/>
      <x:c r="H33" s="17"/>
      <x:c r="I33" s="17"/>
      <x:c r="J33" s="17"/>
      <x:c r="K33" s="17"/>
      <x:c r="L33" s="17"/>
      <x:c r="M33" s="3"/>
      <x:c r="N33" s="3"/>
      <x:c r="O33" s="3"/>
      <x:c r="P33" s="3"/>
      <x:c r="Q33" s="3"/>
      <x:c r="R33" s="3"/>
    </x:row>
    <x:row r="34" ht="20" customHeight="1">
      <x:c r="A34" s="17"/>
      <x:c r="B34" s="17"/>
      <x:c r="C34" s="17"/>
      <x:c r="D34" s="17"/>
      <x:c r="E34" s="17"/>
      <x:c r="F34" s="17"/>
      <x:c r="G34" s="17"/>
      <x:c r="H34" s="17"/>
      <x:c r="I34" s="17"/>
      <x:c r="J34" s="17"/>
      <x:c r="K34" s="17"/>
      <x:c r="L34" s="17"/>
      <x:c r="M34" s="3"/>
      <x:c r="N34" s="3"/>
      <x:c r="O34" s="3"/>
      <x:c r="P34" s="3"/>
      <x:c r="Q34" s="3"/>
      <x:c r="R34" s="3"/>
    </x:row>
    <x:row r="35" ht="20" customHeight="1">
      <x:c r="A35" s="17"/>
      <x:c r="B35" s="17"/>
      <x:c r="C35" s="17"/>
      <x:c r="D35" s="17"/>
      <x:c r="E35" s="17"/>
      <x:c r="F35" s="17"/>
      <x:c r="G35" s="17"/>
      <x:c r="H35" s="17"/>
      <x:c r="I35" s="17"/>
      <x:c r="J35" s="17"/>
      <x:c r="K35" s="17"/>
      <x:c r="L35" s="17"/>
      <x:c r="M35" s="3"/>
      <x:c r="N35" s="3"/>
      <x:c r="O35" s="3"/>
      <x:c r="P35" s="3"/>
      <x:c r="Q35" s="3"/>
      <x:c r="R35" s="3"/>
    </x:row>
    <x:row r="36" ht="20" customHeight="1">
      <x:c r="A36" s="3"/>
      <x:c r="B36" s="3"/>
      <x:c r="C36" s="3"/>
      <x:c r="D36" s="3"/>
      <x:c r="E36" s="3"/>
      <x:c r="F36" s="3"/>
      <x:c r="G36" s="3"/>
      <x:c r="H36" s="3"/>
      <x:c r="I36" s="3"/>
      <x:c r="J36" s="3"/>
      <x:c r="K36" s="3"/>
      <x:c r="L36" s="3"/>
      <x:c r="M36" s="3"/>
      <x:c r="N36" s="3"/>
      <x:c r="O36" s="3"/>
      <x:c r="P36" s="3"/>
      <x:c r="Q36" s="3"/>
      <x:c r="R36" s="3"/>
    </x:row>
    <x:row r="37" ht="20" customHeight="1">
      <x:c r="A37" s="3"/>
      <x:c r="B37" s="3"/>
      <x:c r="C37" s="3"/>
      <x:c r="D37" s="3"/>
      <x:c r="E37" s="3"/>
      <x:c r="F37" s="3"/>
      <x:c r="G37" s="3"/>
      <x:c r="H37" s="3"/>
      <x:c r="I37" s="3"/>
      <x:c r="J37" s="3"/>
      <x:c r="K37" s="3"/>
      <x:c r="L37" s="3"/>
      <x:c r="M37" s="3"/>
      <x:c r="N37" s="3"/>
      <x:c r="O37" s="3"/>
      <x:c r="P37" s="3"/>
      <x:c r="Q37" s="3"/>
      <x:c r="R37" s="3"/>
    </x:row>
    <x:row r="38" ht="20" customHeight="1">
      <x:c r="A38" s="3"/>
      <x:c r="B38" s="3"/>
      <x:c r="C38" s="3"/>
      <x:c r="D38" s="3"/>
      <x:c r="E38" s="3"/>
      <x:c r="F38" s="3"/>
      <x:c r="G38" s="3"/>
      <x:c r="H38" s="3"/>
      <x:c r="I38" s="3"/>
      <x:c r="J38" s="3"/>
      <x:c r="K38" s="3"/>
      <x:c r="L38" s="3"/>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20" customHeight="1">
      <x:c r="A42" s="3"/>
      <x:c r="B42" s="3"/>
      <x:c r="C42" s="3"/>
      <x:c r="D42" s="3"/>
      <x:c r="E42" s="3"/>
      <x:c r="F42" s="3"/>
      <x:c r="G42" s="3"/>
      <x:c r="H42" s="3"/>
      <x:c r="I42" s="3"/>
      <x:c r="J42" s="3"/>
      <x:c r="K42" s="3"/>
      <x:c r="L42" s="3"/>
      <x:c r="M42" s="3"/>
      <x:c r="N42" s="3"/>
      <x:c r="O42" s="3"/>
      <x:c r="P42" s="3"/>
      <x:c r="Q42" s="3"/>
      <x:c r="R42" s="3"/>
    </x:row>
    <x:row r="43" ht="20" customHeight="1">
      <x:c r="A43" s="3"/>
      <x:c r="B43" s="3"/>
      <x:c r="C43" s="3"/>
      <x:c r="D43" s="3"/>
      <x:c r="E43" s="3"/>
      <x:c r="F43" s="3"/>
      <x:c r="G43" s="3"/>
      <x:c r="H43" s="3"/>
      <x:c r="I43" s="3"/>
      <x:c r="J43" s="3"/>
      <x:c r="K43" s="3"/>
      <x:c r="L43" s="3"/>
      <x:c r="M43" s="3"/>
      <x:c r="N43" s="3"/>
      <x:c r="O43" s="3"/>
      <x:c r="P43" s="3"/>
      <x:c r="Q43" s="3"/>
      <x:c r="R43" s="3"/>
    </x:row>
    <x:row r="44" ht="20" customHeight="1">
      <x:c r="A44" s="3"/>
      <x:c r="B44" s="3"/>
      <x:c r="C44" s="3"/>
      <x:c r="D44" s="3"/>
      <x:c r="E44" s="3"/>
      <x:c r="F44" s="3"/>
      <x:c r="G44" s="3"/>
      <x:c r="H44" s="3"/>
      <x:c r="I44" s="3"/>
      <x:c r="J44" s="3"/>
      <x:c r="K44" s="3"/>
      <x:c r="L44" s="3"/>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3"/>
      <x:c r="B47" s="3"/>
      <x:c r="C47" s="3"/>
      <x:c r="D47" s="3"/>
      <x:c r="E47" s="3"/>
      <x:c r="F47" s="3"/>
      <x:c r="G47" s="3"/>
      <x:c r="H47" s="3"/>
      <x:c r="I47" s="3"/>
      <x:c r="J47" s="3"/>
      <x:c r="K47" s="3"/>
      <x:c r="L47" s="3"/>
      <x:c r="M47" s="3"/>
      <x:c r="N47" s="3"/>
      <x:c r="O47" s="3"/>
      <x:c r="P47" s="3"/>
      <x:c r="Q47" s="3"/>
      <x:c r="R47" s="3"/>
    </x:row>
    <x:row r="48" ht="20" customHeight="1">
      <x:c r="A48" s="3"/>
      <x:c r="B48" s="3"/>
      <x:c r="C48" s="3"/>
      <x:c r="D48" s="3"/>
      <x:c r="E48" s="3"/>
      <x:c r="F48" s="3"/>
      <x:c r="G48" s="3"/>
      <x:c r="H48" s="3"/>
      <x:c r="I48" s="3"/>
      <x:c r="J48" s="3"/>
      <x:c r="K48" s="3"/>
      <x:c r="L48" s="3"/>
      <x:c r="M48" s="3"/>
      <x:c r="N48" s="3"/>
      <x:c r="O48" s="3"/>
      <x:c r="P48" s="3"/>
      <x:c r="Q48" s="3"/>
      <x:c r="R48" s="3"/>
    </x:row>
    <x:row r="49" ht="20" customHeight="1">
      <x:c r="A49" s="3"/>
      <x:c r="B49" s="3"/>
      <x:c r="C49" s="3"/>
      <x:c r="D49" s="3"/>
      <x:c r="E49" s="3"/>
      <x:c r="F49" s="3"/>
      <x:c r="G49" s="3"/>
      <x:c r="H49" s="3"/>
      <x:c r="I49" s="3"/>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S06</x:v>
      </x:c>
      <x:c r="B110" s="34"/>
      <x:c r="C110" s="34"/>
      <x:c r="D110" s="34"/>
      <x:c r="E110" s="34"/>
      <x:c r="F110" s="34"/>
      <x:c r="G110" s="34"/>
      <x:c r="H110" s="34"/>
      <x:c r="I110" s="34"/>
      <x:c r="J110" s="34"/>
      <x:c r="K110" s="34"/>
      <x:c r="L110" s="34"/>
      <x:c r="M110" s="3"/>
      <x:c r="N110" s="3"/>
      <x:c r="O110" s="3"/>
      <x:c r="P110" s="3"/>
      <x:c r="Q110" s="3"/>
      <x:c r="R110" s="3"/>
    </x:row>
    <x:row r="111" ht="20" customHeight="1">
      <x:c r="A111" s="40" t="str">
        <x:v>01  Question and counting rule</x:v>
      </x:c>
      <x:c r="B111" s="40"/>
      <x:c r="C111" s="40"/>
      <x:c r="D111" s="17" t="str">
        <x:v>State unit, population and period.</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Categories and evidence</x:v>
      </x:c>
      <x:c r="B117" s="40"/>
      <x:c r="C117" s="40"/>
      <x:c r="D117" s="17" t="str">
        <x:v>Define categories and resolve ambiguity.</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Ranking and shares</x:v>
      </x:c>
      <x:c r="B123" s="40"/>
      <x:c r="C123" s="40"/>
      <x:c r="D123" s="17" t="str">
        <x:v>Calculate ordered counts and percentages.</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Severity and controls</x:v>
      </x:c>
      <x:c r="B129" s="40"/>
      <x:c r="C129" s="40"/>
      <x:c r="D129" s="17" t="str">
        <x:v>Identify risks that frequency alone would miss.</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Investigation and test</x:v>
      </x:c>
      <x:c r="B135" s="40"/>
      <x:c r="C135" s="40"/>
      <x:c r="D135" s="17" t="str">
        <x:v>State which category will be explored next.</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Follow-up and comparison</x:v>
      </x:c>
      <x:c r="B141" s="40"/>
      <x:c r="C141" s="40"/>
      <x:c r="D141" s="17" t="str">
        <x:v>Define how the next chart will be made comparable.</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A Pareto chart does not prove a root cause or guarantee an 80/20 pattern. Do not mix case counts with defect occurrences or cost in one series. The workbook ranks entered categories; a category without a count remains incomplete, not zero.</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P09, P10, P13  |  METHOD SOURCES: U04, R08</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 ref="A32:L35"/>
  </x:mergeCells>
  <x:pageMargins left="0.7" right="0.7" top="0.75" bottom="0.75" header="0.3" footer="0.3"/>
  <x:drawing xmlns:r="http://schemas.openxmlformats.org/officeDocument/2006/relationships" r:id="Rf4b7143fdbf1475f"/>
</x:worksheet>
</file>

<file path=xl/worksheets/sheet35.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0" hidden="0" customWidth="1"/>
    <x:col min="2" max="2" width="16" hidden="0" customWidth="1"/>
    <x:col min="3" max="3" width="35" hidden="0" customWidth="1"/>
    <x:col min="4" max="4" width="20" hidden="0" customWidth="1"/>
    <x:col min="5" max="5" width="20" hidden="0" customWidth="1"/>
    <x:col min="6" max="6" width="15" hidden="0" customWidth="1"/>
    <x:col min="7" max="7" width="25" hidden="0" customWidth="1"/>
    <x:col min="8" max="8" width="27"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S07  Histogram and distribution review</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See the spread and shape that an average can hide.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Order</x:v>
      </x:c>
      <x:c r="B9" s="77" t="str">
        <x:v>Observation</x:v>
      </x:c>
      <x:c r="C9" s="77" t="str">
        <x:v>Context</x:v>
      </x:c>
      <x:c r="D9" s="77" t="str">
        <x:v>Lower inclusive</x:v>
      </x:c>
      <x:c r="E9" s="77" t="str">
        <x:v>Upper exclusive</x:v>
      </x:c>
      <x:c r="F9" s="77" t="str">
        <x:v>Count</x:v>
      </x:c>
      <x:c r="G9" s="77" t="str">
        <x:v>Bin label</x:v>
      </x:c>
      <x:c r="H9" s="77" t="str">
        <x:v>Check</x:v>
      </x:c>
      <x:c r="I9" s="3"/>
      <x:c r="J9" s="3"/>
      <x:c r="K9" s="3"/>
      <x:c r="L9" s="3"/>
      <x:c r="M9" s="3"/>
      <x:c r="N9" s="3"/>
      <x:c r="O9" s="3"/>
      <x:c r="P9" s="3"/>
      <x:c r="Q9" s="3"/>
      <x:c r="R9" s="3"/>
    </x:row>
    <x:row r="10" ht="34" customHeight="1">
      <x:c r="A10" s="46" t="n">
        <x:v>1</x:v>
      </x:c>
      <x:c r="B10" s="46"/>
      <x:c r="C10" s="46"/>
      <x:c r="D10" s="46" t="n">
        <x:v>0</x:v>
      </x:c>
      <x:c r="E10" s="46" t="n">
        <x:v>12</x:v>
      </x:c>
      <x:c r="F10" s="46" t="str">
        <x:f>IF(AND(COUNT($B$10:$B$69)&gt;0,H10="Valid"),COUNTIFS($B$10:$B$69,"&gt;="&amp;D10,$B$10:$B$69,"&lt;"&amp;E10),"")</x:f>
      </x:c>
      <x:c r="G10" s="46" t="str">
        <x:f>IF(H10="Valid",D10&amp;" to &lt;"&amp;E10,"")</x:f>
        <x:v>0 to &lt;12</x:v>
      </x:c>
      <x:c r="H10" s="46" t="str">
        <x:f>IF(COUNT(D10:E10)&lt;2,"Complete limits",IF(E10&lt;=D10,"Invalid interval","Valid"))</x:f>
        <x:v>Valid</x:v>
      </x:c>
      <x:c r="I10" s="3"/>
      <x:c r="J10" s="3"/>
      <x:c r="K10" s="3"/>
      <x:c r="L10" s="3"/>
      <x:c r="M10" s="3"/>
      <x:c r="N10" s="3"/>
      <x:c r="O10" s="3"/>
      <x:c r="P10" s="3"/>
      <x:c r="Q10" s="3"/>
      <x:c r="R10" s="3"/>
    </x:row>
    <x:row r="11" ht="34" customHeight="1">
      <x:c r="A11" s="46" t="n">
        <x:v>2</x:v>
      </x:c>
      <x:c r="B11" s="46"/>
      <x:c r="C11" s="46"/>
      <x:c r="D11" s="46" t="n">
        <x:v>12</x:v>
      </x:c>
      <x:c r="E11" s="46" t="n">
        <x:v>24</x:v>
      </x:c>
      <x:c r="F11" s="46" t="str">
        <x:f>IF(AND(COUNT($B$10:$B$69)&gt;0,H11="Valid"),COUNTIFS($B$10:$B$69,"&gt;="&amp;D11,$B$10:$B$69,"&lt;"&amp;E11),"")</x:f>
      </x:c>
      <x:c r="G11" s="46" t="str">
        <x:f>IF(H11="Valid",D11&amp;" to &lt;"&amp;E11,"")</x:f>
        <x:v>12 to &lt;24</x:v>
      </x:c>
      <x:c r="H11" s="46" t="str">
        <x:f>IF(COUNT(D11:E11)&lt;2,"Complete limits",IF(E11&lt;=D11,"Invalid interval",IF(D11&lt;&gt;E10,"Gap/overlap","Valid")))</x:f>
        <x:v>Valid</x:v>
      </x:c>
      <x:c r="I11" s="3"/>
      <x:c r="J11" s="3"/>
      <x:c r="K11" s="3"/>
      <x:c r="L11" s="3"/>
      <x:c r="M11" s="3"/>
      <x:c r="N11" s="3"/>
      <x:c r="O11" s="3"/>
      <x:c r="P11" s="3"/>
      <x:c r="Q11" s="3"/>
      <x:c r="R11" s="3"/>
    </x:row>
    <x:row r="12" ht="34" customHeight="1">
      <x:c r="A12" s="46" t="n">
        <x:v>3</x:v>
      </x:c>
      <x:c r="B12" s="46"/>
      <x:c r="C12" s="46"/>
      <x:c r="D12" s="46" t="n">
        <x:v>24</x:v>
      </x:c>
      <x:c r="E12" s="46" t="n">
        <x:v>48</x:v>
      </x:c>
      <x:c r="F12" s="46" t="str">
        <x:f>IF(AND(COUNT($B$10:$B$69)&gt;0,H12="Valid"),COUNTIFS($B$10:$B$69,"&gt;="&amp;D12,$B$10:$B$69,"&lt;"&amp;E12),"")</x:f>
      </x:c>
      <x:c r="G12" s="46" t="str">
        <x:f>IF(H12="Valid",D12&amp;" to &lt;"&amp;E12,"")</x:f>
        <x:v>24 to &lt;48</x:v>
      </x:c>
      <x:c r="H12" s="46" t="str">
        <x:f>IF(COUNT(D12:E12)&lt;2,"Complete limits",IF(E12&lt;=D12,"Invalid interval",IF(D12&lt;&gt;E11,"Gap/overlap","Valid")))</x:f>
        <x:v>Valid</x:v>
      </x:c>
      <x:c r="I12" s="3"/>
      <x:c r="J12" s="3"/>
      <x:c r="K12" s="3"/>
      <x:c r="L12" s="3"/>
      <x:c r="M12" s="3"/>
      <x:c r="N12" s="3"/>
      <x:c r="O12" s="3"/>
      <x:c r="P12" s="3"/>
      <x:c r="Q12" s="3"/>
      <x:c r="R12" s="3"/>
    </x:row>
    <x:row r="13" ht="34" customHeight="1">
      <x:c r="A13" s="46" t="n">
        <x:v>4</x:v>
      </x:c>
      <x:c r="B13" s="46"/>
      <x:c r="C13" s="46"/>
      <x:c r="D13" s="46" t="n">
        <x:v>48</x:v>
      </x:c>
      <x:c r="E13" s="46" t="n">
        <x:v>72</x:v>
      </x:c>
      <x:c r="F13" s="46" t="str">
        <x:f>IF(AND(COUNT($B$10:$B$69)&gt;0,H13="Valid"),COUNTIFS($B$10:$B$69,"&gt;="&amp;D13,$B$10:$B$69,"&lt;"&amp;E13),"")</x:f>
      </x:c>
      <x:c r="G13" s="46" t="str">
        <x:f>IF(H13="Valid",D13&amp;" to &lt;"&amp;E13,"")</x:f>
        <x:v>48 to &lt;72</x:v>
      </x:c>
      <x:c r="H13" s="46" t="str">
        <x:f>IF(COUNT(D13:E13)&lt;2,"Complete limits",IF(E13&lt;=D13,"Invalid interval",IF(D13&lt;&gt;E12,"Gap/overlap","Valid")))</x:f>
        <x:v>Valid</x:v>
      </x:c>
      <x:c r="I13" s="3"/>
      <x:c r="J13" s="3"/>
      <x:c r="K13" s="3"/>
      <x:c r="L13" s="3"/>
      <x:c r="M13" s="3"/>
      <x:c r="N13" s="3"/>
      <x:c r="O13" s="3"/>
      <x:c r="P13" s="3"/>
      <x:c r="Q13" s="3"/>
      <x:c r="R13" s="3"/>
    </x:row>
    <x:row r="14" ht="34" customHeight="1">
      <x:c r="A14" s="46" t="n">
        <x:v>5</x:v>
      </x:c>
      <x:c r="B14" s="46"/>
      <x:c r="C14" s="46"/>
      <x:c r="D14" s="46" t="n">
        <x:v>72</x:v>
      </x:c>
      <x:c r="E14" s="46" t="n">
        <x:v>96</x:v>
      </x:c>
      <x:c r="F14" s="46" t="str">
        <x:f>IF(AND(COUNT($B$10:$B$69)&gt;0,H14="Valid"),COUNTIFS($B$10:$B$69,"&gt;="&amp;D14,$B$10:$B$69,"&lt;"&amp;E14),"")</x:f>
      </x:c>
      <x:c r="G14" s="46" t="str">
        <x:f>IF(H14="Valid",D14&amp;" to &lt;"&amp;E14,"")</x:f>
        <x:v>72 to &lt;96</x:v>
      </x:c>
      <x:c r="H14" s="46" t="str">
        <x:f>IF(COUNT(D14:E14)&lt;2,"Complete limits",IF(E14&lt;=D14,"Invalid interval",IF(D14&lt;&gt;E13,"Gap/overlap","Valid")))</x:f>
        <x:v>Valid</x:v>
      </x:c>
      <x:c r="I14" s="3"/>
      <x:c r="J14" s="3"/>
      <x:c r="K14" s="3"/>
      <x:c r="L14" s="3"/>
      <x:c r="M14" s="3"/>
      <x:c r="N14" s="3"/>
      <x:c r="O14" s="3"/>
      <x:c r="P14" s="3"/>
      <x:c r="Q14" s="3"/>
      <x:c r="R14" s="3"/>
    </x:row>
    <x:row r="15" ht="34" customHeight="1">
      <x:c r="A15" s="46" t="n">
        <x:v>6</x:v>
      </x:c>
      <x:c r="B15" s="46"/>
      <x:c r="C15" s="46"/>
      <x:c r="D15" s="46" t="n">
        <x:v>96</x:v>
      </x:c>
      <x:c r="E15" s="46" t="n">
        <x:v>168</x:v>
      </x:c>
      <x:c r="F15" s="46" t="str">
        <x:f>IF(AND(COUNT($B$10:$B$69)&gt;0,H15="Valid"),COUNTIFS($B$10:$B$69,"&gt;="&amp;D15,$B$10:$B$69,"&lt;"&amp;E15),"")</x:f>
      </x:c>
      <x:c r="G15" s="46" t="str">
        <x:f>IF(H15="Valid",D15&amp;" to &lt;"&amp;E15,"")</x:f>
        <x:v>96 to &lt;168</x:v>
      </x:c>
      <x:c r="H15" s="46" t="str">
        <x:f>IF(COUNT(D15:E15)&lt;2,"Complete limits",IF(E15&lt;=D15,"Invalid interval",IF(D15&lt;&gt;E14,"Gap/overlap","Valid")))</x:f>
        <x:v>Valid</x:v>
      </x:c>
      <x:c r="I15" s="3"/>
      <x:c r="J15" s="3"/>
      <x:c r="K15" s="3"/>
      <x:c r="L15" s="3"/>
      <x:c r="M15" s="3"/>
      <x:c r="N15" s="3"/>
      <x:c r="O15" s="3"/>
      <x:c r="P15" s="3"/>
      <x:c r="Q15" s="3"/>
      <x:c r="R15" s="3"/>
    </x:row>
    <x:row r="16" ht="34" customHeight="1">
      <x:c r="A16" s="46" t="n">
        <x:v>7</x:v>
      </x:c>
      <x:c r="B16" s="46"/>
      <x:c r="C16" s="46"/>
      <x:c r="D16" s="46"/>
      <x:c r="E16" s="46"/>
      <x:c r="F16" s="46"/>
      <x:c r="G16" s="46"/>
      <x:c r="H16" s="46"/>
      <x:c r="I16" s="3"/>
      <x:c r="J16" s="3"/>
      <x:c r="K16" s="3"/>
      <x:c r="L16" s="3"/>
      <x:c r="M16" s="3"/>
      <x:c r="N16" s="3"/>
      <x:c r="O16" s="3"/>
      <x:c r="P16" s="3"/>
      <x:c r="Q16" s="3"/>
      <x:c r="R16" s="3"/>
    </x:row>
    <x:row r="17" ht="34" customHeight="1">
      <x:c r="A17" s="46" t="n">
        <x:v>8</x:v>
      </x:c>
      <x:c r="B17" s="46"/>
      <x:c r="C17" s="46"/>
      <x:c r="D17" s="46"/>
      <x:c r="E17" s="46"/>
      <x:c r="F17" s="46"/>
      <x:c r="G17" s="46"/>
      <x:c r="H17" s="46"/>
      <x:c r="I17" s="3"/>
      <x:c r="J17" s="3"/>
      <x:c r="K17" s="3"/>
      <x:c r="L17" s="3"/>
      <x:c r="M17" s="3"/>
      <x:c r="N17" s="3"/>
      <x:c r="O17" s="3"/>
      <x:c r="P17" s="3"/>
      <x:c r="Q17" s="3"/>
      <x:c r="R17" s="3"/>
    </x:row>
    <x:row r="18" ht="34" customHeight="1">
      <x:c r="A18" s="46" t="n">
        <x:v>9</x:v>
      </x:c>
      <x:c r="B18" s="46"/>
      <x:c r="C18" s="46"/>
      <x:c r="D18" s="46" t="str">
        <x:v>Below first bin</x:v>
      </x:c>
      <x:c r="E18" s="46"/>
      <x:c r="F18" s="46" t="str">
        <x:f>IF(COUNT(B10:B69)&gt;0,COUNTIF(B10:B69,"&lt;"&amp;D10),"")</x:f>
      </x:c>
      <x:c r="G18" s="46"/>
      <x:c r="H18" s="46"/>
      <x:c r="I18" s="3"/>
      <x:c r="J18" s="3"/>
      <x:c r="K18" s="3"/>
      <x:c r="L18" s="3"/>
      <x:c r="M18" s="3"/>
      <x:c r="N18" s="3"/>
      <x:c r="O18" s="3"/>
      <x:c r="P18" s="3"/>
      <x:c r="Q18" s="3"/>
      <x:c r="R18" s="3"/>
    </x:row>
    <x:row r="19" ht="34" customHeight="1">
      <x:c r="A19" s="46" t="n">
        <x:v>10</x:v>
      </x:c>
      <x:c r="B19" s="46"/>
      <x:c r="C19" s="46"/>
      <x:c r="D19" s="46" t="str">
        <x:v>At/above last limit</x:v>
      </x:c>
      <x:c r="E19" s="46"/>
      <x:c r="F19" s="46" t="str">
        <x:f>IF(COUNT(B10:B69)&gt;0,COUNTIF(B10:B69,"&gt;="&amp;E15),"")</x:f>
      </x:c>
      <x:c r="G19" s="46"/>
      <x:c r="H19" s="46"/>
      <x:c r="I19" s="3"/>
      <x:c r="J19" s="3"/>
      <x:c r="K19" s="3"/>
      <x:c r="L19" s="3"/>
      <x:c r="M19" s="3"/>
      <x:c r="N19" s="3"/>
      <x:c r="O19" s="3"/>
      <x:c r="P19" s="3"/>
      <x:c r="Q19" s="3"/>
      <x:c r="R19" s="3"/>
    </x:row>
    <x:row r="20" ht="34" customHeight="1">
      <x:c r="A20" s="46" t="n">
        <x:v>11</x:v>
      </x:c>
      <x:c r="B20" s="46"/>
      <x:c r="C20" s="46"/>
      <x:c r="D20" s="46" t="str">
        <x:v>Valid observations</x:v>
      </x:c>
      <x:c r="E20" s="46"/>
      <x:c r="F20" s="46" t="n">
        <x:f>COUNT(B10:B69)</x:f>
        <x:v>0</x:v>
      </x:c>
      <x:c r="G20" s="46"/>
      <x:c r="H20" s="46"/>
      <x:c r="I20" s="3"/>
      <x:c r="J20" s="3"/>
      <x:c r="K20" s="3"/>
      <x:c r="L20" s="3"/>
      <x:c r="M20" s="3"/>
      <x:c r="N20" s="3"/>
      <x:c r="O20" s="3"/>
      <x:c r="P20" s="3"/>
      <x:c r="Q20" s="3"/>
      <x:c r="R20" s="3"/>
    </x:row>
    <x:row r="21" ht="34" customHeight="1">
      <x:c r="A21" s="46" t="n">
        <x:v>12</x:v>
      </x:c>
      <x:c r="B21" s="46"/>
      <x:c r="C21" s="46"/>
      <x:c r="D21" s="46"/>
      <x:c r="E21" s="46"/>
      <x:c r="F21" s="46"/>
      <x:c r="G21" s="46"/>
      <x:c r="H21" s="46"/>
      <x:c r="I21" s="3"/>
      <x:c r="J21" s="3"/>
      <x:c r="K21" s="3"/>
      <x:c r="L21" s="3"/>
      <x:c r="M21" s="3"/>
      <x:c r="N21" s="3"/>
      <x:c r="O21" s="3"/>
      <x:c r="P21" s="3"/>
      <x:c r="Q21" s="3"/>
      <x:c r="R21" s="3"/>
    </x:row>
    <x:row r="22" ht="34" customHeight="1">
      <x:c r="A22" s="46" t="n">
        <x:v>13</x:v>
      </x:c>
      <x:c r="B22" s="46"/>
      <x:c r="C22" s="46"/>
      <x:c r="D22" s="46"/>
      <x:c r="E22" s="46"/>
      <x:c r="F22" s="46"/>
      <x:c r="G22" s="46"/>
      <x:c r="H22" s="46"/>
      <x:c r="I22" s="3"/>
      <x:c r="J22" s="3"/>
      <x:c r="K22" s="3"/>
      <x:c r="L22" s="3"/>
      <x:c r="M22" s="3"/>
      <x:c r="N22" s="3"/>
      <x:c r="O22" s="3"/>
      <x:c r="P22" s="3"/>
      <x:c r="Q22" s="3"/>
      <x:c r="R22" s="3"/>
    </x:row>
    <x:row r="23" ht="34" customHeight="1">
      <x:c r="A23" s="46" t="n">
        <x:v>14</x:v>
      </x:c>
      <x:c r="B23" s="46"/>
      <x:c r="C23" s="46"/>
      <x:c r="D23" s="46"/>
      <x:c r="E23" s="46"/>
      <x:c r="F23" s="46"/>
      <x:c r="G23" s="46"/>
      <x:c r="H23" s="46"/>
      <x:c r="I23" s="3"/>
      <x:c r="J23" s="3"/>
      <x:c r="K23" s="3"/>
      <x:c r="L23" s="3"/>
      <x:c r="M23" s="3"/>
      <x:c r="N23" s="3"/>
      <x:c r="O23" s="3"/>
      <x:c r="P23" s="3"/>
      <x:c r="Q23" s="3"/>
      <x:c r="R23" s="3"/>
    </x:row>
    <x:row r="24" ht="34" customHeight="1">
      <x:c r="A24" s="46" t="n">
        <x:v>15</x:v>
      </x:c>
      <x:c r="B24" s="46"/>
      <x:c r="C24" s="46"/>
      <x:c r="D24" s="46"/>
      <x:c r="E24" s="46"/>
      <x:c r="F24" s="46"/>
      <x:c r="G24" s="46"/>
      <x:c r="H24" s="46"/>
      <x:c r="I24" s="3"/>
      <x:c r="J24" s="3"/>
      <x:c r="K24" s="3"/>
      <x:c r="L24" s="3"/>
      <x:c r="M24" s="3"/>
      <x:c r="N24" s="3"/>
      <x:c r="O24" s="3"/>
      <x:c r="P24" s="3"/>
      <x:c r="Q24" s="3"/>
      <x:c r="R24" s="3"/>
    </x:row>
    <x:row r="25" ht="34" customHeight="1">
      <x:c r="A25" s="46" t="n">
        <x:v>16</x:v>
      </x:c>
      <x:c r="B25" s="46"/>
      <x:c r="C25" s="46"/>
      <x:c r="D25" s="46"/>
      <x:c r="E25" s="46"/>
      <x:c r="F25" s="46"/>
      <x:c r="G25" s="46"/>
      <x:c r="H25" s="46"/>
      <x:c r="I25" s="3"/>
      <x:c r="J25" s="3"/>
      <x:c r="K25" s="3"/>
      <x:c r="L25" s="3"/>
      <x:c r="M25" s="3"/>
      <x:c r="N25" s="3"/>
      <x:c r="O25" s="3"/>
      <x:c r="P25" s="3"/>
      <x:c r="Q25" s="3"/>
      <x:c r="R25" s="3"/>
    </x:row>
    <x:row r="26" ht="34" customHeight="1">
      <x:c r="A26" s="46" t="n">
        <x:v>17</x:v>
      </x:c>
      <x:c r="B26" s="46"/>
      <x:c r="C26" s="46"/>
      <x:c r="D26" s="46"/>
      <x:c r="E26" s="46"/>
      <x:c r="F26" s="46"/>
      <x:c r="G26" s="46"/>
      <x:c r="H26" s="46"/>
      <x:c r="I26" s="3"/>
      <x:c r="J26" s="3"/>
      <x:c r="K26" s="3"/>
      <x:c r="L26" s="3"/>
      <x:c r="M26" s="3"/>
      <x:c r="N26" s="3"/>
      <x:c r="O26" s="3"/>
      <x:c r="P26" s="3"/>
      <x:c r="Q26" s="3"/>
      <x:c r="R26" s="3"/>
    </x:row>
    <x:row r="27" ht="34" customHeight="1">
      <x:c r="A27" s="46" t="n">
        <x:v>18</x:v>
      </x:c>
      <x:c r="B27" s="46"/>
      <x:c r="C27" s="46"/>
      <x:c r="D27" s="46"/>
      <x:c r="E27" s="46"/>
      <x:c r="F27" s="46"/>
      <x:c r="G27" s="46"/>
      <x:c r="H27" s="46"/>
      <x:c r="I27" s="3"/>
      <x:c r="J27" s="3"/>
      <x:c r="K27" s="3"/>
      <x:c r="L27" s="3"/>
      <x:c r="M27" s="3"/>
      <x:c r="N27" s="3"/>
      <x:c r="O27" s="3"/>
      <x:c r="P27" s="3"/>
      <x:c r="Q27" s="3"/>
      <x:c r="R27" s="3"/>
    </x:row>
    <x:row r="28" ht="34" customHeight="1">
      <x:c r="A28" s="46" t="n">
        <x:v>19</x:v>
      </x:c>
      <x:c r="B28" s="46"/>
      <x:c r="C28" s="46"/>
      <x:c r="D28" s="46"/>
      <x:c r="E28" s="46"/>
      <x:c r="F28" s="46"/>
      <x:c r="G28" s="46"/>
      <x:c r="H28" s="46"/>
      <x:c r="I28" s="3"/>
      <x:c r="J28" s="3"/>
      <x:c r="K28" s="3"/>
      <x:c r="L28" s="3"/>
      <x:c r="M28" s="3"/>
      <x:c r="N28" s="3"/>
      <x:c r="O28" s="3"/>
      <x:c r="P28" s="3"/>
      <x:c r="Q28" s="3"/>
      <x:c r="R28" s="3"/>
    </x:row>
    <x:row r="29" ht="34" customHeight="1">
      <x:c r="A29" s="46" t="n">
        <x:v>20</x:v>
      </x:c>
      <x:c r="B29" s="46"/>
      <x:c r="C29" s="46"/>
      <x:c r="D29" s="46"/>
      <x:c r="E29" s="46"/>
      <x:c r="F29" s="46"/>
      <x:c r="G29" s="46"/>
      <x:c r="H29" s="46"/>
      <x:c r="I29" s="3"/>
      <x:c r="J29" s="3"/>
      <x:c r="K29" s="3"/>
      <x:c r="L29" s="3"/>
      <x:c r="M29" s="3"/>
      <x:c r="N29" s="3"/>
      <x:c r="O29" s="3"/>
      <x:c r="P29" s="3"/>
      <x:c r="Q29" s="3"/>
      <x:c r="R29" s="3"/>
    </x:row>
    <x:row r="30" ht="34" customHeight="1">
      <x:c r="A30" s="46" t="n">
        <x:v>21</x:v>
      </x:c>
      <x:c r="B30" s="46"/>
      <x:c r="C30" s="46"/>
      <x:c r="D30" s="46"/>
      <x:c r="E30" s="46"/>
      <x:c r="F30" s="46"/>
      <x:c r="G30" s="46"/>
      <x:c r="H30" s="46"/>
      <x:c r="I30" s="3"/>
      <x:c r="J30" s="3"/>
      <x:c r="K30" s="3"/>
      <x:c r="L30" s="3"/>
      <x:c r="M30" s="3"/>
      <x:c r="N30" s="3"/>
      <x:c r="O30" s="3"/>
      <x:c r="P30" s="3"/>
      <x:c r="Q30" s="3"/>
      <x:c r="R30" s="3"/>
    </x:row>
    <x:row r="31" ht="34" customHeight="1">
      <x:c r="A31" s="46" t="n">
        <x:v>22</x:v>
      </x:c>
      <x:c r="B31" s="46"/>
      <x:c r="C31" s="46"/>
      <x:c r="D31" s="46"/>
      <x:c r="E31" s="46"/>
      <x:c r="F31" s="46"/>
      <x:c r="G31" s="46"/>
      <x:c r="H31" s="46"/>
      <x:c r="I31" s="3"/>
      <x:c r="J31" s="3"/>
      <x:c r="K31" s="3"/>
      <x:c r="L31" s="3"/>
      <x:c r="M31" s="3"/>
      <x:c r="N31" s="3"/>
      <x:c r="O31" s="3"/>
      <x:c r="P31" s="3"/>
      <x:c r="Q31" s="3"/>
      <x:c r="R31" s="3"/>
    </x:row>
    <x:row r="32" ht="34" customHeight="1">
      <x:c r="A32" s="46" t="n">
        <x:v>23</x:v>
      </x:c>
      <x:c r="B32" s="46"/>
      <x:c r="C32" s="46"/>
      <x:c r="D32" s="46"/>
      <x:c r="E32" s="46"/>
      <x:c r="F32" s="46"/>
      <x:c r="G32" s="46"/>
      <x:c r="H32" s="46"/>
      <x:c r="I32" s="3"/>
      <x:c r="J32" s="3"/>
      <x:c r="K32" s="3"/>
      <x:c r="L32" s="3"/>
      <x:c r="M32" s="3"/>
      <x:c r="N32" s="3"/>
      <x:c r="O32" s="3"/>
      <x:c r="P32" s="3"/>
      <x:c r="Q32" s="3"/>
      <x:c r="R32" s="3"/>
    </x:row>
    <x:row r="33" ht="34" customHeight="1">
      <x:c r="A33" s="46" t="n">
        <x:v>24</x:v>
      </x:c>
      <x:c r="B33" s="46"/>
      <x:c r="C33" s="46"/>
      <x:c r="D33" s="46"/>
      <x:c r="E33" s="46"/>
      <x:c r="F33" s="46"/>
      <x:c r="G33" s="46"/>
      <x:c r="H33" s="46"/>
      <x:c r="I33" s="3"/>
      <x:c r="J33" s="3"/>
      <x:c r="K33" s="3"/>
      <x:c r="L33" s="3"/>
      <x:c r="M33" s="3"/>
      <x:c r="N33" s="3"/>
      <x:c r="O33" s="3"/>
      <x:c r="P33" s="3"/>
      <x:c r="Q33" s="3"/>
      <x:c r="R33" s="3"/>
    </x:row>
    <x:row r="34" ht="34" customHeight="1">
      <x:c r="A34" s="46" t="n">
        <x:v>25</x:v>
      </x:c>
      <x:c r="B34" s="46"/>
      <x:c r="C34" s="46"/>
      <x:c r="D34" s="46"/>
      <x:c r="E34" s="46"/>
      <x:c r="F34" s="46"/>
      <x:c r="G34" s="46"/>
      <x:c r="H34" s="46"/>
      <x:c r="I34" s="3"/>
      <x:c r="J34" s="3"/>
      <x:c r="K34" s="3"/>
      <x:c r="L34" s="3"/>
      <x:c r="M34" s="3"/>
      <x:c r="N34" s="3"/>
      <x:c r="O34" s="3"/>
      <x:c r="P34" s="3"/>
      <x:c r="Q34" s="3"/>
      <x:c r="R34" s="3"/>
    </x:row>
    <x:row r="35" ht="34" customHeight="1">
      <x:c r="A35" s="46" t="n">
        <x:v>26</x:v>
      </x:c>
      <x:c r="B35" s="46"/>
      <x:c r="C35" s="46"/>
      <x:c r="D35" s="46"/>
      <x:c r="E35" s="46"/>
      <x:c r="F35" s="46"/>
      <x:c r="G35" s="46"/>
      <x:c r="H35" s="46"/>
      <x:c r="I35" s="3"/>
      <x:c r="J35" s="3"/>
      <x:c r="K35" s="3"/>
      <x:c r="L35" s="3"/>
      <x:c r="M35" s="3"/>
      <x:c r="N35" s="3"/>
      <x:c r="O35" s="3"/>
      <x:c r="P35" s="3"/>
      <x:c r="Q35" s="3"/>
      <x:c r="R35" s="3"/>
    </x:row>
    <x:row r="36" ht="34" customHeight="1">
      <x:c r="A36" s="46" t="n">
        <x:v>27</x:v>
      </x:c>
      <x:c r="B36" s="46"/>
      <x:c r="C36" s="46"/>
      <x:c r="D36" s="46"/>
      <x:c r="E36" s="46"/>
      <x:c r="F36" s="46"/>
      <x:c r="G36" s="46"/>
      <x:c r="H36" s="46"/>
      <x:c r="I36" s="3"/>
      <x:c r="J36" s="3"/>
      <x:c r="K36" s="3"/>
      <x:c r="L36" s="3"/>
      <x:c r="M36" s="3"/>
      <x:c r="N36" s="3"/>
      <x:c r="O36" s="3"/>
      <x:c r="P36" s="3"/>
      <x:c r="Q36" s="3"/>
      <x:c r="R36" s="3"/>
    </x:row>
    <x:row r="37" ht="34" customHeight="1">
      <x:c r="A37" s="46" t="n">
        <x:v>28</x:v>
      </x:c>
      <x:c r="B37" s="46"/>
      <x:c r="C37" s="46"/>
      <x:c r="D37" s="46"/>
      <x:c r="E37" s="46"/>
      <x:c r="F37" s="46"/>
      <x:c r="G37" s="46"/>
      <x:c r="H37" s="46"/>
      <x:c r="I37" s="3"/>
      <x:c r="J37" s="3"/>
      <x:c r="K37" s="3"/>
      <x:c r="L37" s="3"/>
      <x:c r="M37" s="3"/>
      <x:c r="N37" s="3"/>
      <x:c r="O37" s="3"/>
      <x:c r="P37" s="3"/>
      <x:c r="Q37" s="3"/>
      <x:c r="R37" s="3"/>
    </x:row>
    <x:row r="38" ht="34" customHeight="1">
      <x:c r="A38" s="46" t="n">
        <x:v>29</x:v>
      </x:c>
      <x:c r="B38" s="46"/>
      <x:c r="C38" s="46"/>
      <x:c r="D38" s="46"/>
      <x:c r="E38" s="46"/>
      <x:c r="F38" s="46"/>
      <x:c r="G38" s="46"/>
      <x:c r="H38" s="46"/>
      <x:c r="I38" s="3"/>
      <x:c r="J38" s="3"/>
      <x:c r="K38" s="3"/>
      <x:c r="L38" s="3"/>
      <x:c r="M38" s="3"/>
      <x:c r="N38" s="3"/>
      <x:c r="O38" s="3"/>
      <x:c r="P38" s="3"/>
      <x:c r="Q38" s="3"/>
      <x:c r="R38" s="3"/>
    </x:row>
    <x:row r="39" ht="34" customHeight="1">
      <x:c r="A39" s="46" t="n">
        <x:v>30</x:v>
      </x:c>
      <x:c r="B39" s="46"/>
      <x:c r="C39" s="46"/>
      <x:c r="D39" s="46"/>
      <x:c r="E39" s="46"/>
      <x:c r="F39" s="46"/>
      <x:c r="G39" s="46"/>
      <x:c r="H39" s="46"/>
      <x:c r="I39" s="3"/>
      <x:c r="J39" s="3"/>
      <x:c r="K39" s="3"/>
      <x:c r="L39" s="3"/>
      <x:c r="M39" s="3"/>
      <x:c r="N39" s="3"/>
      <x:c r="O39" s="3"/>
      <x:c r="P39" s="3"/>
      <x:c r="Q39" s="3"/>
      <x:c r="R39" s="3"/>
    </x:row>
    <x:row r="40" ht="34" customHeight="1">
      <x:c r="A40" s="46" t="n">
        <x:v>31</x:v>
      </x:c>
      <x:c r="B40" s="46"/>
      <x:c r="C40" s="46"/>
      <x:c r="D40" s="46"/>
      <x:c r="E40" s="46"/>
      <x:c r="F40" s="46"/>
      <x:c r="G40" s="46"/>
      <x:c r="H40" s="46"/>
      <x:c r="I40" s="3"/>
      <x:c r="J40" s="3"/>
      <x:c r="K40" s="3"/>
      <x:c r="L40" s="3"/>
      <x:c r="M40" s="3"/>
      <x:c r="N40" s="3"/>
      <x:c r="O40" s="3"/>
      <x:c r="P40" s="3"/>
      <x:c r="Q40" s="3"/>
      <x:c r="R40" s="3"/>
    </x:row>
    <x:row r="41" ht="34" customHeight="1">
      <x:c r="A41" s="46" t="n">
        <x:v>32</x:v>
      </x:c>
      <x:c r="B41" s="46"/>
      <x:c r="C41" s="46"/>
      <x:c r="D41" s="46"/>
      <x:c r="E41" s="46"/>
      <x:c r="F41" s="46"/>
      <x:c r="G41" s="46"/>
      <x:c r="H41" s="46"/>
      <x:c r="I41" s="3"/>
      <x:c r="J41" s="3"/>
      <x:c r="K41" s="3"/>
      <x:c r="L41" s="3"/>
      <x:c r="M41" s="3"/>
      <x:c r="N41" s="3"/>
      <x:c r="O41" s="3"/>
      <x:c r="P41" s="3"/>
      <x:c r="Q41" s="3"/>
      <x:c r="R41" s="3"/>
    </x:row>
    <x:row r="42" ht="34" customHeight="1">
      <x:c r="A42" s="46" t="n">
        <x:v>33</x:v>
      </x:c>
      <x:c r="B42" s="46"/>
      <x:c r="C42" s="46"/>
      <x:c r="D42" s="46"/>
      <x:c r="E42" s="46"/>
      <x:c r="F42" s="46"/>
      <x:c r="G42" s="46"/>
      <x:c r="H42" s="46"/>
      <x:c r="I42" s="3"/>
      <x:c r="J42" s="3"/>
      <x:c r="K42" s="3"/>
      <x:c r="L42" s="3"/>
      <x:c r="M42" s="3"/>
      <x:c r="N42" s="3"/>
      <x:c r="O42" s="3"/>
      <x:c r="P42" s="3"/>
      <x:c r="Q42" s="3"/>
      <x:c r="R42" s="3"/>
    </x:row>
    <x:row r="43" ht="34" customHeight="1">
      <x:c r="A43" s="46" t="n">
        <x:v>34</x:v>
      </x:c>
      <x:c r="B43" s="46"/>
      <x:c r="C43" s="46"/>
      <x:c r="D43" s="46"/>
      <x:c r="E43" s="46"/>
      <x:c r="F43" s="46"/>
      <x:c r="G43" s="46"/>
      <x:c r="H43" s="46"/>
      <x:c r="I43" s="3"/>
      <x:c r="J43" s="3"/>
      <x:c r="K43" s="3"/>
      <x:c r="L43" s="3"/>
      <x:c r="M43" s="3"/>
      <x:c r="N43" s="3"/>
      <x:c r="O43" s="3"/>
      <x:c r="P43" s="3"/>
      <x:c r="Q43" s="3"/>
      <x:c r="R43" s="3"/>
    </x:row>
    <x:row r="44" ht="34" customHeight="1">
      <x:c r="A44" s="46" t="n">
        <x:v>35</x:v>
      </x:c>
      <x:c r="B44" s="46"/>
      <x:c r="C44" s="46"/>
      <x:c r="D44" s="46"/>
      <x:c r="E44" s="46"/>
      <x:c r="F44" s="46"/>
      <x:c r="G44" s="46"/>
      <x:c r="H44" s="46"/>
      <x:c r="I44" s="3"/>
      <x:c r="J44" s="3"/>
      <x:c r="K44" s="3"/>
      <x:c r="L44" s="3"/>
      <x:c r="M44" s="3"/>
      <x:c r="N44" s="3"/>
      <x:c r="O44" s="3"/>
      <x:c r="P44" s="3"/>
      <x:c r="Q44" s="3"/>
      <x:c r="R44" s="3"/>
    </x:row>
    <x:row r="45" ht="34" customHeight="1">
      <x:c r="A45" s="46" t="n">
        <x:v>36</x:v>
      </x:c>
      <x:c r="B45" s="46"/>
      <x:c r="C45" s="46"/>
      <x:c r="D45" s="46"/>
      <x:c r="E45" s="46"/>
      <x:c r="F45" s="46"/>
      <x:c r="G45" s="46"/>
      <x:c r="H45" s="46"/>
      <x:c r="I45" s="3"/>
      <x:c r="J45" s="3"/>
      <x:c r="K45" s="3"/>
      <x:c r="L45" s="3"/>
      <x:c r="M45" s="3"/>
      <x:c r="N45" s="3"/>
      <x:c r="O45" s="3"/>
      <x:c r="P45" s="3"/>
      <x:c r="Q45" s="3"/>
      <x:c r="R45" s="3"/>
    </x:row>
    <x:row r="46" ht="34" customHeight="1">
      <x:c r="A46" s="46" t="n">
        <x:v>37</x:v>
      </x:c>
      <x:c r="B46" s="46"/>
      <x:c r="C46" s="46"/>
      <x:c r="D46" s="46"/>
      <x:c r="E46" s="46"/>
      <x:c r="F46" s="46"/>
      <x:c r="G46" s="46"/>
      <x:c r="H46" s="46"/>
      <x:c r="I46" s="3"/>
      <x:c r="J46" s="3"/>
      <x:c r="K46" s="3"/>
      <x:c r="L46" s="3"/>
      <x:c r="M46" s="3"/>
      <x:c r="N46" s="3"/>
      <x:c r="O46" s="3"/>
      <x:c r="P46" s="3"/>
      <x:c r="Q46" s="3"/>
      <x:c r="R46" s="3"/>
    </x:row>
    <x:row r="47" ht="34" customHeight="1">
      <x:c r="A47" s="46" t="n">
        <x:v>38</x:v>
      </x:c>
      <x:c r="B47" s="46"/>
      <x:c r="C47" s="46"/>
      <x:c r="D47" s="46"/>
      <x:c r="E47" s="46"/>
      <x:c r="F47" s="46"/>
      <x:c r="G47" s="46"/>
      <x:c r="H47" s="46"/>
      <x:c r="I47" s="3"/>
      <x:c r="J47" s="3"/>
      <x:c r="K47" s="3"/>
      <x:c r="L47" s="3"/>
      <x:c r="M47" s="3"/>
      <x:c r="N47" s="3"/>
      <x:c r="O47" s="3"/>
      <x:c r="P47" s="3"/>
      <x:c r="Q47" s="3"/>
      <x:c r="R47" s="3"/>
    </x:row>
    <x:row r="48" ht="34" customHeight="1">
      <x:c r="A48" s="46" t="n">
        <x:v>39</x:v>
      </x:c>
      <x:c r="B48" s="46"/>
      <x:c r="C48" s="46"/>
      <x:c r="D48" s="46"/>
      <x:c r="E48" s="46"/>
      <x:c r="F48" s="46"/>
      <x:c r="G48" s="46"/>
      <x:c r="H48" s="46"/>
      <x:c r="I48" s="3"/>
      <x:c r="J48" s="3"/>
      <x:c r="K48" s="3"/>
      <x:c r="L48" s="3"/>
      <x:c r="M48" s="3"/>
      <x:c r="N48" s="3"/>
      <x:c r="O48" s="3"/>
      <x:c r="P48" s="3"/>
      <x:c r="Q48" s="3"/>
      <x:c r="R48" s="3"/>
    </x:row>
    <x:row r="49" ht="34" customHeight="1">
      <x:c r="A49" s="46" t="n">
        <x:v>40</x:v>
      </x:c>
      <x:c r="B49" s="46"/>
      <x:c r="C49" s="46"/>
      <x:c r="D49" s="46"/>
      <x:c r="E49" s="46"/>
      <x:c r="F49" s="46"/>
      <x:c r="G49" s="46"/>
      <x:c r="H49" s="46"/>
      <x:c r="I49" s="3"/>
      <x:c r="J49" s="3"/>
      <x:c r="K49" s="3"/>
      <x:c r="L49" s="3"/>
      <x:c r="M49" s="3"/>
      <x:c r="N49" s="3"/>
      <x:c r="O49" s="3"/>
      <x:c r="P49" s="3"/>
      <x:c r="Q49" s="3"/>
      <x:c r="R49" s="3"/>
    </x:row>
    <x:row r="50" ht="34" customHeight="1">
      <x:c r="A50" s="46" t="n">
        <x:v>41</x:v>
      </x:c>
      <x:c r="B50" s="46"/>
      <x:c r="C50" s="46"/>
      <x:c r="D50" s="46"/>
      <x:c r="E50" s="46"/>
      <x:c r="F50" s="46"/>
      <x:c r="G50" s="46"/>
      <x:c r="H50" s="46"/>
      <x:c r="I50" s="3"/>
      <x:c r="J50" s="3"/>
      <x:c r="K50" s="3"/>
      <x:c r="L50" s="3"/>
      <x:c r="M50" s="3"/>
      <x:c r="N50" s="3"/>
      <x:c r="O50" s="3"/>
      <x:c r="P50" s="3"/>
      <x:c r="Q50" s="3"/>
      <x:c r="R50" s="3"/>
    </x:row>
    <x:row r="51" ht="34" customHeight="1">
      <x:c r="A51" s="46" t="n">
        <x:v>42</x:v>
      </x:c>
      <x:c r="B51" s="46"/>
      <x:c r="C51" s="46"/>
      <x:c r="D51" s="46"/>
      <x:c r="E51" s="46"/>
      <x:c r="F51" s="46"/>
      <x:c r="G51" s="46"/>
      <x:c r="H51" s="46"/>
      <x:c r="I51" s="3"/>
      <x:c r="J51" s="3"/>
      <x:c r="K51" s="3"/>
      <x:c r="L51" s="3"/>
      <x:c r="M51" s="3"/>
      <x:c r="N51" s="3"/>
      <x:c r="O51" s="3"/>
      <x:c r="P51" s="3"/>
      <x:c r="Q51" s="3"/>
      <x:c r="R51" s="3"/>
    </x:row>
    <x:row r="52" ht="34" customHeight="1">
      <x:c r="A52" s="46" t="n">
        <x:v>43</x:v>
      </x:c>
      <x:c r="B52" s="46"/>
      <x:c r="C52" s="46"/>
      <x:c r="D52" s="46"/>
      <x:c r="E52" s="46"/>
      <x:c r="F52" s="46"/>
      <x:c r="G52" s="46"/>
      <x:c r="H52" s="46"/>
      <x:c r="I52" s="3"/>
      <x:c r="J52" s="3"/>
      <x:c r="K52" s="3"/>
      <x:c r="L52" s="3"/>
      <x:c r="M52" s="3"/>
      <x:c r="N52" s="3"/>
      <x:c r="O52" s="3"/>
      <x:c r="P52" s="3"/>
      <x:c r="Q52" s="3"/>
      <x:c r="R52" s="3"/>
    </x:row>
    <x:row r="53" ht="34" customHeight="1">
      <x:c r="A53" s="46" t="n">
        <x:v>44</x:v>
      </x:c>
      <x:c r="B53" s="46"/>
      <x:c r="C53" s="46"/>
      <x:c r="D53" s="46"/>
      <x:c r="E53" s="46"/>
      <x:c r="F53" s="46"/>
      <x:c r="G53" s="46"/>
      <x:c r="H53" s="46"/>
      <x:c r="I53" s="3"/>
      <x:c r="J53" s="3"/>
      <x:c r="K53" s="3"/>
      <x:c r="L53" s="3"/>
      <x:c r="M53" s="3"/>
      <x:c r="N53" s="3"/>
      <x:c r="O53" s="3"/>
      <x:c r="P53" s="3"/>
      <x:c r="Q53" s="3"/>
      <x:c r="R53" s="3"/>
    </x:row>
    <x:row r="54" ht="34" customHeight="1">
      <x:c r="A54" s="46" t="n">
        <x:v>45</x:v>
      </x:c>
      <x:c r="B54" s="46"/>
      <x:c r="C54" s="46"/>
      <x:c r="D54" s="46"/>
      <x:c r="E54" s="46"/>
      <x:c r="F54" s="46"/>
      <x:c r="G54" s="46"/>
      <x:c r="H54" s="46"/>
      <x:c r="I54" s="3"/>
      <x:c r="J54" s="3"/>
      <x:c r="K54" s="3"/>
      <x:c r="L54" s="3"/>
      <x:c r="M54" s="3"/>
      <x:c r="N54" s="3"/>
      <x:c r="O54" s="3"/>
      <x:c r="P54" s="3"/>
      <x:c r="Q54" s="3"/>
      <x:c r="R54" s="3"/>
    </x:row>
    <x:row r="55" ht="34" customHeight="1">
      <x:c r="A55" s="46" t="n">
        <x:v>46</x:v>
      </x:c>
      <x:c r="B55" s="46"/>
      <x:c r="C55" s="46"/>
      <x:c r="D55" s="46"/>
      <x:c r="E55" s="46"/>
      <x:c r="F55" s="46"/>
      <x:c r="G55" s="46"/>
      <x:c r="H55" s="46"/>
      <x:c r="I55" s="3"/>
      <x:c r="J55" s="3"/>
      <x:c r="K55" s="3"/>
      <x:c r="L55" s="3"/>
      <x:c r="M55" s="3"/>
      <x:c r="N55" s="3"/>
      <x:c r="O55" s="3"/>
      <x:c r="P55" s="3"/>
      <x:c r="Q55" s="3"/>
      <x:c r="R55" s="3"/>
    </x:row>
    <x:row r="56" ht="34" customHeight="1">
      <x:c r="A56" s="46" t="n">
        <x:v>47</x:v>
      </x:c>
      <x:c r="B56" s="46"/>
      <x:c r="C56" s="46"/>
      <x:c r="D56" s="46"/>
      <x:c r="E56" s="46"/>
      <x:c r="F56" s="46"/>
      <x:c r="G56" s="46"/>
      <x:c r="H56" s="46"/>
      <x:c r="I56" s="3"/>
      <x:c r="J56" s="3"/>
      <x:c r="K56" s="3"/>
      <x:c r="L56" s="3"/>
      <x:c r="M56" s="3"/>
      <x:c r="N56" s="3"/>
      <x:c r="O56" s="3"/>
      <x:c r="P56" s="3"/>
      <x:c r="Q56" s="3"/>
      <x:c r="R56" s="3"/>
    </x:row>
    <x:row r="57" ht="34" customHeight="1">
      <x:c r="A57" s="46" t="n">
        <x:v>48</x:v>
      </x:c>
      <x:c r="B57" s="46"/>
      <x:c r="C57" s="46"/>
      <x:c r="D57" s="46"/>
      <x:c r="E57" s="46"/>
      <x:c r="F57" s="46"/>
      <x:c r="G57" s="46"/>
      <x:c r="H57" s="46"/>
      <x:c r="I57" s="3"/>
      <x:c r="J57" s="3"/>
      <x:c r="K57" s="3"/>
      <x:c r="L57" s="3"/>
      <x:c r="M57" s="3"/>
      <x:c r="N57" s="3"/>
      <x:c r="O57" s="3"/>
      <x:c r="P57" s="3"/>
      <x:c r="Q57" s="3"/>
      <x:c r="R57" s="3"/>
    </x:row>
    <x:row r="58" ht="34" customHeight="1">
      <x:c r="A58" s="46" t="n">
        <x:v>49</x:v>
      </x:c>
      <x:c r="B58" s="46"/>
      <x:c r="C58" s="46"/>
      <x:c r="D58" s="46"/>
      <x:c r="E58" s="46"/>
      <x:c r="F58" s="46"/>
      <x:c r="G58" s="46"/>
      <x:c r="H58" s="46"/>
      <x:c r="I58" s="3"/>
      <x:c r="J58" s="3"/>
      <x:c r="K58" s="3"/>
      <x:c r="L58" s="3"/>
      <x:c r="M58" s="3"/>
      <x:c r="N58" s="3"/>
      <x:c r="O58" s="3"/>
      <x:c r="P58" s="3"/>
      <x:c r="Q58" s="3"/>
      <x:c r="R58" s="3"/>
    </x:row>
    <x:row r="59" ht="34" customHeight="1">
      <x:c r="A59" s="46" t="n">
        <x:v>50</x:v>
      </x:c>
      <x:c r="B59" s="46"/>
      <x:c r="C59" s="46"/>
      <x:c r="D59" s="46"/>
      <x:c r="E59" s="46"/>
      <x:c r="F59" s="46"/>
      <x:c r="G59" s="46"/>
      <x:c r="H59" s="46"/>
      <x:c r="I59" s="3"/>
      <x:c r="J59" s="3"/>
      <x:c r="K59" s="3"/>
      <x:c r="L59" s="3"/>
      <x:c r="M59" s="3"/>
      <x:c r="N59" s="3"/>
      <x:c r="O59" s="3"/>
      <x:c r="P59" s="3"/>
      <x:c r="Q59" s="3"/>
      <x:c r="R59" s="3"/>
    </x:row>
    <x:row r="60" ht="34" customHeight="1">
      <x:c r="A60" s="46" t="n">
        <x:v>51</x:v>
      </x:c>
      <x:c r="B60" s="46"/>
      <x:c r="C60" s="46"/>
      <x:c r="D60" s="46"/>
      <x:c r="E60" s="46"/>
      <x:c r="F60" s="46"/>
      <x:c r="G60" s="46"/>
      <x:c r="H60" s="46"/>
      <x:c r="I60" s="3"/>
      <x:c r="J60" s="3"/>
      <x:c r="K60" s="3"/>
      <x:c r="L60" s="3"/>
      <x:c r="M60" s="3"/>
      <x:c r="N60" s="3"/>
      <x:c r="O60" s="3"/>
      <x:c r="P60" s="3"/>
      <x:c r="Q60" s="3"/>
      <x:c r="R60" s="3"/>
    </x:row>
    <x:row r="61" ht="34" customHeight="1">
      <x:c r="A61" s="46" t="n">
        <x:v>52</x:v>
      </x:c>
      <x:c r="B61" s="46"/>
      <x:c r="C61" s="46"/>
      <x:c r="D61" s="46"/>
      <x:c r="E61" s="46"/>
      <x:c r="F61" s="46"/>
      <x:c r="G61" s="46"/>
      <x:c r="H61" s="46"/>
      <x:c r="I61" s="3"/>
      <x:c r="J61" s="3"/>
      <x:c r="K61" s="3"/>
      <x:c r="L61" s="3"/>
      <x:c r="M61" s="3"/>
      <x:c r="N61" s="3"/>
      <x:c r="O61" s="3"/>
      <x:c r="P61" s="3"/>
      <x:c r="Q61" s="3"/>
      <x:c r="R61" s="3"/>
    </x:row>
    <x:row r="62" ht="34" customHeight="1">
      <x:c r="A62" s="46" t="n">
        <x:v>53</x:v>
      </x:c>
      <x:c r="B62" s="46"/>
      <x:c r="C62" s="46"/>
      <x:c r="D62" s="46"/>
      <x:c r="E62" s="46"/>
      <x:c r="F62" s="46"/>
      <x:c r="G62" s="46"/>
      <x:c r="H62" s="46"/>
      <x:c r="I62" s="3"/>
      <x:c r="J62" s="3"/>
      <x:c r="K62" s="3"/>
      <x:c r="L62" s="3"/>
      <x:c r="M62" s="3"/>
      <x:c r="N62" s="3"/>
      <x:c r="O62" s="3"/>
      <x:c r="P62" s="3"/>
      <x:c r="Q62" s="3"/>
      <x:c r="R62" s="3"/>
    </x:row>
    <x:row r="63" ht="34" customHeight="1">
      <x:c r="A63" s="46" t="n">
        <x:v>54</x:v>
      </x:c>
      <x:c r="B63" s="46"/>
      <x:c r="C63" s="46"/>
      <x:c r="D63" s="46"/>
      <x:c r="E63" s="46"/>
      <x:c r="F63" s="46"/>
      <x:c r="G63" s="46"/>
      <x:c r="H63" s="46"/>
      <x:c r="I63" s="3"/>
      <x:c r="J63" s="3"/>
      <x:c r="K63" s="3"/>
      <x:c r="L63" s="3"/>
      <x:c r="M63" s="3"/>
      <x:c r="N63" s="3"/>
      <x:c r="O63" s="3"/>
      <x:c r="P63" s="3"/>
      <x:c r="Q63" s="3"/>
      <x:c r="R63" s="3"/>
    </x:row>
    <x:row r="64" ht="34" customHeight="1">
      <x:c r="A64" s="46" t="n">
        <x:v>55</x:v>
      </x:c>
      <x:c r="B64" s="46"/>
      <x:c r="C64" s="46"/>
      <x:c r="D64" s="46"/>
      <x:c r="E64" s="46"/>
      <x:c r="F64" s="46"/>
      <x:c r="G64" s="46"/>
      <x:c r="H64" s="46"/>
      <x:c r="I64" s="3"/>
      <x:c r="J64" s="3"/>
      <x:c r="K64" s="3"/>
      <x:c r="L64" s="3"/>
      <x:c r="M64" s="3"/>
      <x:c r="N64" s="3"/>
      <x:c r="O64" s="3"/>
      <x:c r="P64" s="3"/>
      <x:c r="Q64" s="3"/>
      <x:c r="R64" s="3"/>
    </x:row>
    <x:row r="65" ht="34" customHeight="1">
      <x:c r="A65" s="46" t="n">
        <x:v>56</x:v>
      </x:c>
      <x:c r="B65" s="46"/>
      <x:c r="C65" s="46"/>
      <x:c r="D65" s="46"/>
      <x:c r="E65" s="46"/>
      <x:c r="F65" s="46"/>
      <x:c r="G65" s="46"/>
      <x:c r="H65" s="46"/>
      <x:c r="I65" s="3"/>
      <x:c r="J65" s="3"/>
      <x:c r="K65" s="3"/>
      <x:c r="L65" s="3"/>
      <x:c r="M65" s="3"/>
      <x:c r="N65" s="3"/>
      <x:c r="O65" s="3"/>
      <x:c r="P65" s="3"/>
      <x:c r="Q65" s="3"/>
      <x:c r="R65" s="3"/>
    </x:row>
    <x:row r="66" ht="34" customHeight="1">
      <x:c r="A66" s="46" t="n">
        <x:v>57</x:v>
      </x:c>
      <x:c r="B66" s="46"/>
      <x:c r="C66" s="46"/>
      <x:c r="D66" s="46"/>
      <x:c r="E66" s="46"/>
      <x:c r="F66" s="46"/>
      <x:c r="G66" s="46"/>
      <x:c r="H66" s="46"/>
      <x:c r="I66" s="3"/>
      <x:c r="J66" s="3"/>
      <x:c r="K66" s="3"/>
      <x:c r="L66" s="3"/>
      <x:c r="M66" s="3"/>
      <x:c r="N66" s="3"/>
      <x:c r="O66" s="3"/>
      <x:c r="P66" s="3"/>
      <x:c r="Q66" s="3"/>
      <x:c r="R66" s="3"/>
    </x:row>
    <x:row r="67" ht="34" customHeight="1">
      <x:c r="A67" s="46" t="n">
        <x:v>58</x:v>
      </x:c>
      <x:c r="B67" s="46"/>
      <x:c r="C67" s="46"/>
      <x:c r="D67" s="46"/>
      <x:c r="E67" s="46"/>
      <x:c r="F67" s="46"/>
      <x:c r="G67" s="46"/>
      <x:c r="H67" s="46"/>
      <x:c r="I67" s="3"/>
      <x:c r="J67" s="3"/>
      <x:c r="K67" s="3"/>
      <x:c r="L67" s="3"/>
      <x:c r="M67" s="3"/>
      <x:c r="N67" s="3"/>
      <x:c r="O67" s="3"/>
      <x:c r="P67" s="3"/>
      <x:c r="Q67" s="3"/>
      <x:c r="R67" s="3"/>
    </x:row>
    <x:row r="68" ht="34" customHeight="1">
      <x:c r="A68" s="46" t="n">
        <x:v>59</x:v>
      </x:c>
      <x:c r="B68" s="46"/>
      <x:c r="C68" s="46"/>
      <x:c r="D68" s="46"/>
      <x:c r="E68" s="46"/>
      <x:c r="F68" s="46"/>
      <x:c r="G68" s="46"/>
      <x:c r="H68" s="46"/>
      <x:c r="I68" s="3"/>
      <x:c r="J68" s="3"/>
      <x:c r="K68" s="3"/>
      <x:c r="L68" s="3"/>
      <x:c r="M68" s="3"/>
      <x:c r="N68" s="3"/>
      <x:c r="O68" s="3"/>
      <x:c r="P68" s="3"/>
      <x:c r="Q68" s="3"/>
      <x:c r="R68" s="3"/>
    </x:row>
    <x:row r="69" ht="34" customHeight="1">
      <x:c r="A69" s="46" t="n">
        <x:v>60</x:v>
      </x:c>
      <x:c r="B69" s="46"/>
      <x:c r="C69" s="46"/>
      <x:c r="D69" s="46"/>
      <x:c r="E69" s="46"/>
      <x:c r="F69" s="46"/>
      <x:c r="G69" s="46"/>
      <x:c r="H69" s="46"/>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17" t="str">
        <x:v>The six starting bins are illustrative hour intervals, not benchmarks. Change them for your unit before analysis. Intervals include the lower limit and exclude the upper; underflow and overflow are separate. Check gaps/overlaps. Do not infer causation from distribution shape.</x:v>
      </x:c>
      <x:c r="B73" s="17"/>
      <x:c r="C73" s="17"/>
      <x:c r="D73" s="17"/>
      <x:c r="E73" s="17"/>
      <x:c r="F73" s="17"/>
      <x:c r="G73" s="17"/>
      <x:c r="H73" s="17"/>
      <x:c r="I73" s="17"/>
      <x:c r="J73" s="17"/>
      <x:c r="K73" s="17"/>
      <x:c r="L73" s="17"/>
      <x:c r="M73" s="3"/>
      <x:c r="N73" s="3"/>
      <x:c r="O73" s="3"/>
      <x:c r="P73" s="3"/>
      <x:c r="Q73" s="3"/>
      <x:c r="R73" s="3"/>
    </x:row>
    <x:row r="74" ht="20" customHeight="1">
      <x:c r="A74" s="17"/>
      <x:c r="B74" s="17"/>
      <x:c r="C74" s="17"/>
      <x:c r="D74" s="17"/>
      <x:c r="E74" s="17"/>
      <x:c r="F74" s="17"/>
      <x:c r="G74" s="17"/>
      <x:c r="H74" s="17"/>
      <x:c r="I74" s="17"/>
      <x:c r="J74" s="17"/>
      <x:c r="K74" s="17"/>
      <x:c r="L74" s="17"/>
      <x:c r="M74" s="3"/>
      <x:c r="N74" s="3"/>
      <x:c r="O74" s="3"/>
      <x:c r="P74" s="3"/>
      <x:c r="Q74" s="3"/>
      <x:c r="R74" s="3"/>
    </x:row>
    <x:row r="75" ht="20" customHeight="1">
      <x:c r="A75" s="17"/>
      <x:c r="B75" s="17"/>
      <x:c r="C75" s="17"/>
      <x:c r="D75" s="17"/>
      <x:c r="E75" s="17"/>
      <x:c r="F75" s="17"/>
      <x:c r="G75" s="17"/>
      <x:c r="H75" s="17"/>
      <x:c r="I75" s="17"/>
      <x:c r="J75" s="17"/>
      <x:c r="K75" s="17"/>
      <x:c r="L75" s="17"/>
      <x:c r="M75" s="3"/>
      <x:c r="N75" s="3"/>
      <x:c r="O75" s="3"/>
      <x:c r="P75" s="3"/>
      <x:c r="Q75" s="3"/>
      <x:c r="R75" s="3"/>
    </x:row>
    <x:row r="76" ht="20" customHeight="1">
      <x:c r="A76" s="17"/>
      <x:c r="B76" s="17"/>
      <x:c r="C76" s="17"/>
      <x:c r="D76" s="17"/>
      <x:c r="E76" s="17"/>
      <x:c r="F76" s="17"/>
      <x:c r="G76" s="17"/>
      <x:c r="H76" s="17"/>
      <x:c r="I76" s="17"/>
      <x:c r="J76" s="17"/>
      <x:c r="K76" s="17"/>
      <x:c r="L76" s="17"/>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S07</x:v>
      </x:c>
      <x:c r="B110" s="34"/>
      <x:c r="C110" s="34"/>
      <x:c r="D110" s="34"/>
      <x:c r="E110" s="34"/>
      <x:c r="F110" s="34"/>
      <x:c r="G110" s="34"/>
      <x:c r="H110" s="34"/>
      <x:c r="I110" s="34"/>
      <x:c r="J110" s="34"/>
      <x:c r="K110" s="34"/>
      <x:c r="L110" s="34"/>
      <x:c r="M110" s="3"/>
      <x:c r="N110" s="3"/>
      <x:c r="O110" s="3"/>
      <x:c r="P110" s="3"/>
      <x:c r="Q110" s="3"/>
      <x:c r="R110" s="3"/>
    </x:row>
    <x:row r="111" ht="20" customHeight="1">
      <x:c r="A111" s="40" t="str">
        <x:v>01  Measure and population</x:v>
      </x:c>
      <x:c r="B111" s="40"/>
      <x:c r="C111" s="40"/>
      <x:c r="D111" s="17" t="str">
        <x:v>State data definition, phase and valid n.</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Bin plan</x:v>
      </x:c>
      <x:c r="B117" s="40"/>
      <x:c r="C117" s="40"/>
      <x:c r="D117" s="17" t="str">
        <x:v>Record boundaries and inclusion convention.</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Counts and completeness</x:v>
      </x:c>
      <x:c r="B123" s="40"/>
      <x:c r="C123" s="40"/>
      <x:c r="D123" s="17" t="str">
        <x:v>Record frequency and missing/out-of-range values.</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Shape and tail</x:v>
      </x:c>
      <x:c r="B129" s="40"/>
      <x:c r="C129" s="40"/>
      <x:c r="D129" s="17" t="str">
        <x:v>Describe what can be seen without overclaiming.</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Comparison and context</x:v>
      </x:c>
      <x:c r="B135" s="40"/>
      <x:c r="C135" s="40"/>
      <x:c r="D135" s="17" t="str">
        <x:v>Link distribution to sequence and process evidence.</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Next investigation</x:v>
      </x:c>
      <x:c r="B141" s="40"/>
      <x:c r="C141" s="40"/>
      <x:c r="D141" s="17" t="str">
        <x:v>Record the question raised by the distribution.</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A histogram is not a capability study. Do not calculate capability indices from an unstable process or assume normality from appearance alone. Small samples can make shapes look more meaningful than they are. Do not hide out-of-range observations.</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S03, S09, M03  |  METHOD SOURCES: U04, R39</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 ref="A73:L76"/>
  </x:mergeCells>
  <x:pageMargins left="0.7" right="0.7" top="0.75" bottom="0.75" header="0.3" footer="0.3"/>
  <x:drawing xmlns:r="http://schemas.openxmlformats.org/officeDocument/2006/relationships" r:id="R0776100c4f6c4b2a"/>
</x:worksheet>
</file>

<file path=xl/worksheets/sheet36.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4" hidden="0" customWidth="1"/>
    <x:col min="2" max="2" width="16" hidden="0" customWidth="1"/>
    <x:col min="3" max="3" width="16" hidden="0" customWidth="1"/>
    <x:col min="4" max="4" width="26" hidden="0" customWidth="1"/>
    <x:col min="5" max="5" width="16" hidden="0" customWidth="1"/>
    <x:col min="6" max="6" width="16" hidden="0" customWidth="1"/>
    <x:col min="7" max="7" width="46" hidden="0" customWidth="1"/>
    <x:col min="8" max="8" width="11" hidden="0" customWidth="1"/>
    <x:col min="9" max="9" width="27" hidden="0" customWidth="1"/>
    <x:col min="10" max="10" width="42"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S08  Scatter plot and relationship check</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Explore a possible association without claiming that it proves a cause.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Pair ID</x:v>
      </x:c>
      <x:c r="B9" s="77" t="str">
        <x:v>X</x:v>
      </x:c>
      <x:c r="C9" s="77" t="str">
        <x:v>Y</x:v>
      </x:c>
      <x:c r="D9" s="77" t="str">
        <x:v>Check</x:v>
      </x:c>
      <x:c r="E9" s="77" t="str">
        <x:v>Valid X</x:v>
      </x:c>
      <x:c r="F9" s="77" t="str">
        <x:v>Valid Y</x:v>
      </x:c>
      <x:c r="G9" s="77" t="str">
        <x:v>Context</x:v>
      </x:c>
      <x:c r="H9" s="3"/>
      <x:c r="I9" s="3"/>
      <x:c r="J9" s="3"/>
      <x:c r="K9" s="3"/>
      <x:c r="L9" s="3"/>
      <x:c r="M9" s="3"/>
      <x:c r="N9" s="3"/>
      <x:c r="O9" s="3"/>
      <x:c r="P9" s="3"/>
      <x:c r="Q9" s="3"/>
      <x:c r="R9" s="3"/>
    </x:row>
    <x:row r="10" ht="34" customHeight="1">
      <x:c r="A10" s="46"/>
      <x:c r="B10" s="46"/>
      <x:c r="C10" s="46"/>
      <x:c r="D10" s="83" t="str">
        <x:f>IF(COUNTA(A10:C10)=0,"",IF(AND(A10&lt;&gt;"",COUNT(B10:C10)=2),"Valid pair","Complete ID and numeric X/Y"))</x:f>
      </x:c>
      <x:c r="E10" s="83" t="str">
        <x:f>IF(D10="Valid pair",B10,"")</x:f>
      </x:c>
      <x:c r="F10" s="83" t="str">
        <x:f>IF(D10="Valid pair",C10,"")</x:f>
      </x:c>
      <x:c r="G10" s="46"/>
      <x:c r="H10" s="3"/>
      <x:c r="I10" s="95" t="str">
        <x:v>Valid pairs</x:v>
      </x:c>
      <x:c r="J10" s="83" t="n">
        <x:f>COUNT(E10:E69)</x:f>
        <x:v>0</x:v>
      </x:c>
      <x:c r="K10" s="3"/>
      <x:c r="L10" s="3"/>
      <x:c r="M10" s="3"/>
      <x:c r="N10" s="3"/>
      <x:c r="O10" s="3"/>
      <x:c r="P10" s="3"/>
      <x:c r="Q10" s="3"/>
      <x:c r="R10" s="3"/>
    </x:row>
    <x:row r="11" ht="34" customHeight="1">
      <x:c r="A11" s="46"/>
      <x:c r="B11" s="46"/>
      <x:c r="C11" s="46"/>
      <x:c r="D11" s="83" t="str">
        <x:f>IF(COUNTA(A11:C11)=0,"",IF(AND(A11&lt;&gt;"",COUNT(B11:C11)=2),"Valid pair","Complete ID and numeric X/Y"))</x:f>
      </x:c>
      <x:c r="E11" s="83" t="str">
        <x:f>IF(D11="Valid pair",B11,"")</x:f>
      </x:c>
      <x:c r="F11" s="83" t="str">
        <x:f>IF(D11="Valid pair",C11,"")</x:f>
      </x:c>
      <x:c r="G11" s="46"/>
      <x:c r="H11" s="3"/>
      <x:c r="I11" s="95" t="str">
        <x:v>Pearson correlation</x:v>
      </x:c>
      <x:c r="J11" s="113" t="str">
        <x:f>IF(J10&lt;3,"Need at least 3 pairs",IF(OR(STDEV(E10:E69)=0,STDEV(F10:F69)=0),"Zero variation - not defined",CORREL(E10:E69,F10:F69)))</x:f>
        <x:v>Need at least 3 pairs</x:v>
      </x:c>
      <x:c r="K11" s="3"/>
      <x:c r="L11" s="3"/>
      <x:c r="M11" s="3"/>
      <x:c r="N11" s="3"/>
      <x:c r="O11" s="3"/>
      <x:c r="P11" s="3"/>
      <x:c r="Q11" s="3"/>
      <x:c r="R11" s="3"/>
    </x:row>
    <x:row r="12" ht="34" customHeight="1">
      <x:c r="A12" s="46"/>
      <x:c r="B12" s="46"/>
      <x:c r="C12" s="46"/>
      <x:c r="D12" s="83" t="str">
        <x:f>IF(COUNTA(A12:C12)=0,"",IF(AND(A12&lt;&gt;"",COUNT(B12:C12)=2),"Valid pair","Complete ID and numeric X/Y"))</x:f>
      </x:c>
      <x:c r="E12" s="83" t="str">
        <x:f>IF(D12="Valid pair",B12,"")</x:f>
      </x:c>
      <x:c r="F12" s="83" t="str">
        <x:f>IF(D12="Valid pair",C12,"")</x:f>
      </x:c>
      <x:c r="G12" s="46"/>
      <x:c r="H12" s="3"/>
      <x:c r="I12" s="95" t="str">
        <x:v>Interpretation</x:v>
      </x:c>
      <x:c r="J12" s="83" t="str">
        <x:v>Association only; check shape, outliers and context.</x:v>
      </x:c>
      <x:c r="K12" s="3"/>
      <x:c r="L12" s="3"/>
      <x:c r="M12" s="3"/>
      <x:c r="N12" s="3"/>
      <x:c r="O12" s="3"/>
      <x:c r="P12" s="3"/>
      <x:c r="Q12" s="3"/>
      <x:c r="R12" s="3"/>
    </x:row>
    <x:row r="13" ht="34" customHeight="1">
      <x:c r="A13" s="46"/>
      <x:c r="B13" s="46"/>
      <x:c r="C13" s="46"/>
      <x:c r="D13" s="83" t="str">
        <x:f>IF(COUNTA(A13:C13)=0,"",IF(AND(A13&lt;&gt;"",COUNT(B13:C13)=2),"Valid pair","Complete ID and numeric X/Y"))</x:f>
      </x:c>
      <x:c r="E13" s="83" t="str">
        <x:f>IF(D13="Valid pair",B13,"")</x:f>
      </x:c>
      <x:c r="F13" s="83" t="str">
        <x:f>IF(D13="Valid pair",C13,"")</x:f>
      </x:c>
      <x:c r="G13" s="46"/>
      <x:c r="H13" s="3"/>
      <x:c r="I13" s="3"/>
      <x:c r="J13" s="3"/>
      <x:c r="K13" s="3"/>
      <x:c r="L13" s="3"/>
      <x:c r="M13" s="3"/>
      <x:c r="N13" s="3"/>
      <x:c r="O13" s="3"/>
      <x:c r="P13" s="3"/>
      <x:c r="Q13" s="3"/>
      <x:c r="R13" s="3"/>
    </x:row>
    <x:row r="14" ht="34" customHeight="1">
      <x:c r="A14" s="46"/>
      <x:c r="B14" s="46"/>
      <x:c r="C14" s="46"/>
      <x:c r="D14" s="83" t="str">
        <x:f>IF(COUNTA(A14:C14)=0,"",IF(AND(A14&lt;&gt;"",COUNT(B14:C14)=2),"Valid pair","Complete ID and numeric X/Y"))</x:f>
      </x:c>
      <x:c r="E14" s="83" t="str">
        <x:f>IF(D14="Valid pair",B14,"")</x:f>
      </x:c>
      <x:c r="F14" s="83" t="str">
        <x:f>IF(D14="Valid pair",C14,"")</x:f>
      </x:c>
      <x:c r="G14" s="46"/>
      <x:c r="H14" s="3"/>
      <x:c r="I14" s="3"/>
      <x:c r="J14" s="3"/>
      <x:c r="K14" s="3"/>
      <x:c r="L14" s="3"/>
      <x:c r="M14" s="3"/>
      <x:c r="N14" s="3"/>
      <x:c r="O14" s="3"/>
      <x:c r="P14" s="3"/>
      <x:c r="Q14" s="3"/>
      <x:c r="R14" s="3"/>
    </x:row>
    <x:row r="15" ht="34" customHeight="1">
      <x:c r="A15" s="46"/>
      <x:c r="B15" s="46"/>
      <x:c r="C15" s="46"/>
      <x:c r="D15" s="83" t="str">
        <x:f>IF(COUNTA(A15:C15)=0,"",IF(AND(A15&lt;&gt;"",COUNT(B15:C15)=2),"Valid pair","Complete ID and numeric X/Y"))</x:f>
      </x:c>
      <x:c r="E15" s="83" t="str">
        <x:f>IF(D15="Valid pair",B15,"")</x:f>
      </x:c>
      <x:c r="F15" s="83" t="str">
        <x:f>IF(D15="Valid pair",C15,"")</x:f>
      </x:c>
      <x:c r="G15" s="46"/>
      <x:c r="H15" s="3"/>
      <x:c r="I15" s="3"/>
      <x:c r="J15" s="3"/>
      <x:c r="K15" s="3"/>
      <x:c r="L15" s="3"/>
      <x:c r="M15" s="3"/>
      <x:c r="N15" s="3"/>
      <x:c r="O15" s="3"/>
      <x:c r="P15" s="3"/>
      <x:c r="Q15" s="3"/>
      <x:c r="R15" s="3"/>
    </x:row>
    <x:row r="16" ht="34" customHeight="1">
      <x:c r="A16" s="46"/>
      <x:c r="B16" s="46"/>
      <x:c r="C16" s="46"/>
      <x:c r="D16" s="83" t="str">
        <x:f>IF(COUNTA(A16:C16)=0,"",IF(AND(A16&lt;&gt;"",COUNT(B16:C16)=2),"Valid pair","Complete ID and numeric X/Y"))</x:f>
      </x:c>
      <x:c r="E16" s="83" t="str">
        <x:f>IF(D16="Valid pair",B16,"")</x:f>
      </x:c>
      <x:c r="F16" s="83" t="str">
        <x:f>IF(D16="Valid pair",C16,"")</x:f>
      </x:c>
      <x:c r="G16" s="46"/>
      <x:c r="H16" s="3"/>
      <x:c r="I16" s="3"/>
      <x:c r="J16" s="3"/>
      <x:c r="K16" s="3"/>
      <x:c r="L16" s="3"/>
      <x:c r="M16" s="3"/>
      <x:c r="N16" s="3"/>
      <x:c r="O16" s="3"/>
      <x:c r="P16" s="3"/>
      <x:c r="Q16" s="3"/>
      <x:c r="R16" s="3"/>
    </x:row>
    <x:row r="17" ht="34" customHeight="1">
      <x:c r="A17" s="46"/>
      <x:c r="B17" s="46"/>
      <x:c r="C17" s="46"/>
      <x:c r="D17" s="83" t="str">
        <x:f>IF(COUNTA(A17:C17)=0,"",IF(AND(A17&lt;&gt;"",COUNT(B17:C17)=2),"Valid pair","Complete ID and numeric X/Y"))</x:f>
      </x:c>
      <x:c r="E17" s="83" t="str">
        <x:f>IF(D17="Valid pair",B17,"")</x:f>
      </x:c>
      <x:c r="F17" s="83" t="str">
        <x:f>IF(D17="Valid pair",C17,"")</x:f>
      </x:c>
      <x:c r="G17" s="46"/>
      <x:c r="H17" s="3"/>
      <x:c r="I17" s="3"/>
      <x:c r="J17" s="3"/>
      <x:c r="K17" s="3"/>
      <x:c r="L17" s="3"/>
      <x:c r="M17" s="3"/>
      <x:c r="N17" s="3"/>
      <x:c r="O17" s="3"/>
      <x:c r="P17" s="3"/>
      <x:c r="Q17" s="3"/>
      <x:c r="R17" s="3"/>
    </x:row>
    <x:row r="18" ht="34" customHeight="1">
      <x:c r="A18" s="46"/>
      <x:c r="B18" s="46"/>
      <x:c r="C18" s="46"/>
      <x:c r="D18" s="83" t="str">
        <x:f>IF(COUNTA(A18:C18)=0,"",IF(AND(A18&lt;&gt;"",COUNT(B18:C18)=2),"Valid pair","Complete ID and numeric X/Y"))</x:f>
      </x:c>
      <x:c r="E18" s="83" t="str">
        <x:f>IF(D18="Valid pair",B18,"")</x:f>
      </x:c>
      <x:c r="F18" s="83" t="str">
        <x:f>IF(D18="Valid pair",C18,"")</x:f>
      </x:c>
      <x:c r="G18" s="46"/>
      <x:c r="H18" s="3"/>
      <x:c r="I18" s="3"/>
      <x:c r="J18" s="3"/>
      <x:c r="K18" s="3"/>
      <x:c r="L18" s="3"/>
      <x:c r="M18" s="3"/>
      <x:c r="N18" s="3"/>
      <x:c r="O18" s="3"/>
      <x:c r="P18" s="3"/>
      <x:c r="Q18" s="3"/>
      <x:c r="R18" s="3"/>
    </x:row>
    <x:row r="19" ht="34" customHeight="1">
      <x:c r="A19" s="46"/>
      <x:c r="B19" s="46"/>
      <x:c r="C19" s="46"/>
      <x:c r="D19" s="83" t="str">
        <x:f>IF(COUNTA(A19:C19)=0,"",IF(AND(A19&lt;&gt;"",COUNT(B19:C19)=2),"Valid pair","Complete ID and numeric X/Y"))</x:f>
      </x:c>
      <x:c r="E19" s="83" t="str">
        <x:f>IF(D19="Valid pair",B19,"")</x:f>
      </x:c>
      <x:c r="F19" s="83" t="str">
        <x:f>IF(D19="Valid pair",C19,"")</x:f>
      </x:c>
      <x:c r="G19" s="46"/>
      <x:c r="H19" s="3"/>
      <x:c r="I19" s="3"/>
      <x:c r="J19" s="3"/>
      <x:c r="K19" s="3"/>
      <x:c r="L19" s="3"/>
      <x:c r="M19" s="3"/>
      <x:c r="N19" s="3"/>
      <x:c r="O19" s="3"/>
      <x:c r="P19" s="3"/>
      <x:c r="Q19" s="3"/>
      <x:c r="R19" s="3"/>
    </x:row>
    <x:row r="20" ht="34" customHeight="1">
      <x:c r="A20" s="46"/>
      <x:c r="B20" s="46"/>
      <x:c r="C20" s="46"/>
      <x:c r="D20" s="83" t="str">
        <x:f>IF(COUNTA(A20:C20)=0,"",IF(AND(A20&lt;&gt;"",COUNT(B20:C20)=2),"Valid pair","Complete ID and numeric X/Y"))</x:f>
      </x:c>
      <x:c r="E20" s="83" t="str">
        <x:f>IF(D20="Valid pair",B20,"")</x:f>
      </x:c>
      <x:c r="F20" s="83" t="str">
        <x:f>IF(D20="Valid pair",C20,"")</x:f>
      </x:c>
      <x:c r="G20" s="46"/>
      <x:c r="H20" s="3"/>
      <x:c r="I20" s="3"/>
      <x:c r="J20" s="3"/>
      <x:c r="K20" s="3"/>
      <x:c r="L20" s="3"/>
      <x:c r="M20" s="3"/>
      <x:c r="N20" s="3"/>
      <x:c r="O20" s="3"/>
      <x:c r="P20" s="3"/>
      <x:c r="Q20" s="3"/>
      <x:c r="R20" s="3"/>
    </x:row>
    <x:row r="21" ht="34" customHeight="1">
      <x:c r="A21" s="46"/>
      <x:c r="B21" s="46"/>
      <x:c r="C21" s="46"/>
      <x:c r="D21" s="83" t="str">
        <x:f>IF(COUNTA(A21:C21)=0,"",IF(AND(A21&lt;&gt;"",COUNT(B21:C21)=2),"Valid pair","Complete ID and numeric X/Y"))</x:f>
      </x:c>
      <x:c r="E21" s="83" t="str">
        <x:f>IF(D21="Valid pair",B21,"")</x:f>
      </x:c>
      <x:c r="F21" s="83" t="str">
        <x:f>IF(D21="Valid pair",C21,"")</x:f>
      </x:c>
      <x:c r="G21" s="46"/>
      <x:c r="H21" s="3"/>
      <x:c r="I21" s="3"/>
      <x:c r="J21" s="3"/>
      <x:c r="K21" s="3"/>
      <x:c r="L21" s="3"/>
      <x:c r="M21" s="3"/>
      <x:c r="N21" s="3"/>
      <x:c r="O21" s="3"/>
      <x:c r="P21" s="3"/>
      <x:c r="Q21" s="3"/>
      <x:c r="R21" s="3"/>
    </x:row>
    <x:row r="22" ht="34" customHeight="1">
      <x:c r="A22" s="46"/>
      <x:c r="B22" s="46"/>
      <x:c r="C22" s="46"/>
      <x:c r="D22" s="83" t="str">
        <x:f>IF(COUNTA(A22:C22)=0,"",IF(AND(A22&lt;&gt;"",COUNT(B22:C22)=2),"Valid pair","Complete ID and numeric X/Y"))</x:f>
      </x:c>
      <x:c r="E22" s="83" t="str">
        <x:f>IF(D22="Valid pair",B22,"")</x:f>
      </x:c>
      <x:c r="F22" s="83" t="str">
        <x:f>IF(D22="Valid pair",C22,"")</x:f>
      </x:c>
      <x:c r="G22" s="46"/>
      <x:c r="H22" s="3"/>
      <x:c r="I22" s="3"/>
      <x:c r="J22" s="3"/>
      <x:c r="K22" s="3"/>
      <x:c r="L22" s="3"/>
      <x:c r="M22" s="3"/>
      <x:c r="N22" s="3"/>
      <x:c r="O22" s="3"/>
      <x:c r="P22" s="3"/>
      <x:c r="Q22" s="3"/>
      <x:c r="R22" s="3"/>
    </x:row>
    <x:row r="23" ht="34" customHeight="1">
      <x:c r="A23" s="46"/>
      <x:c r="B23" s="46"/>
      <x:c r="C23" s="46"/>
      <x:c r="D23" s="83" t="str">
        <x:f>IF(COUNTA(A23:C23)=0,"",IF(AND(A23&lt;&gt;"",COUNT(B23:C23)=2),"Valid pair","Complete ID and numeric X/Y"))</x:f>
      </x:c>
      <x:c r="E23" s="83" t="str">
        <x:f>IF(D23="Valid pair",B23,"")</x:f>
      </x:c>
      <x:c r="F23" s="83" t="str">
        <x:f>IF(D23="Valid pair",C23,"")</x:f>
      </x:c>
      <x:c r="G23" s="46"/>
      <x:c r="H23" s="3"/>
      <x:c r="I23" s="3"/>
      <x:c r="J23" s="3"/>
      <x:c r="K23" s="3"/>
      <x:c r="L23" s="3"/>
      <x:c r="M23" s="3"/>
      <x:c r="N23" s="3"/>
      <x:c r="O23" s="3"/>
      <x:c r="P23" s="3"/>
      <x:c r="Q23" s="3"/>
      <x:c r="R23" s="3"/>
    </x:row>
    <x:row r="24" ht="34" customHeight="1">
      <x:c r="A24" s="46"/>
      <x:c r="B24" s="46"/>
      <x:c r="C24" s="46"/>
      <x:c r="D24" s="83" t="str">
        <x:f>IF(COUNTA(A24:C24)=0,"",IF(AND(A24&lt;&gt;"",COUNT(B24:C24)=2),"Valid pair","Complete ID and numeric X/Y"))</x:f>
      </x:c>
      <x:c r="E24" s="83" t="str">
        <x:f>IF(D24="Valid pair",B24,"")</x:f>
      </x:c>
      <x:c r="F24" s="83" t="str">
        <x:f>IF(D24="Valid pair",C24,"")</x:f>
      </x:c>
      <x:c r="G24" s="46"/>
      <x:c r="H24" s="3"/>
      <x:c r="I24" s="3"/>
      <x:c r="J24" s="3"/>
      <x:c r="K24" s="3"/>
      <x:c r="L24" s="3"/>
      <x:c r="M24" s="3"/>
      <x:c r="N24" s="3"/>
      <x:c r="O24" s="3"/>
      <x:c r="P24" s="3"/>
      <x:c r="Q24" s="3"/>
      <x:c r="R24" s="3"/>
    </x:row>
    <x:row r="25" ht="34" customHeight="1">
      <x:c r="A25" s="46"/>
      <x:c r="B25" s="46"/>
      <x:c r="C25" s="46"/>
      <x:c r="D25" s="83" t="str">
        <x:f>IF(COUNTA(A25:C25)=0,"",IF(AND(A25&lt;&gt;"",COUNT(B25:C25)=2),"Valid pair","Complete ID and numeric X/Y"))</x:f>
      </x:c>
      <x:c r="E25" s="83" t="str">
        <x:f>IF(D25="Valid pair",B25,"")</x:f>
      </x:c>
      <x:c r="F25" s="83" t="str">
        <x:f>IF(D25="Valid pair",C25,"")</x:f>
      </x:c>
      <x:c r="G25" s="46"/>
      <x:c r="H25" s="3"/>
      <x:c r="I25" s="3"/>
      <x:c r="J25" s="3"/>
      <x:c r="K25" s="3"/>
      <x:c r="L25" s="3"/>
      <x:c r="M25" s="3"/>
      <x:c r="N25" s="3"/>
      <x:c r="O25" s="3"/>
      <x:c r="P25" s="3"/>
      <x:c r="Q25" s="3"/>
      <x:c r="R25" s="3"/>
    </x:row>
    <x:row r="26" ht="34" customHeight="1">
      <x:c r="A26" s="46"/>
      <x:c r="B26" s="46"/>
      <x:c r="C26" s="46"/>
      <x:c r="D26" s="83" t="str">
        <x:f>IF(COUNTA(A26:C26)=0,"",IF(AND(A26&lt;&gt;"",COUNT(B26:C26)=2),"Valid pair","Complete ID and numeric X/Y"))</x:f>
      </x:c>
      <x:c r="E26" s="83" t="str">
        <x:f>IF(D26="Valid pair",B26,"")</x:f>
      </x:c>
      <x:c r="F26" s="83" t="str">
        <x:f>IF(D26="Valid pair",C26,"")</x:f>
      </x:c>
      <x:c r="G26" s="46"/>
      <x:c r="H26" s="3"/>
      <x:c r="I26" s="3"/>
      <x:c r="J26" s="3"/>
      <x:c r="K26" s="3"/>
      <x:c r="L26" s="3"/>
      <x:c r="M26" s="3"/>
      <x:c r="N26" s="3"/>
      <x:c r="O26" s="3"/>
      <x:c r="P26" s="3"/>
      <x:c r="Q26" s="3"/>
      <x:c r="R26" s="3"/>
    </x:row>
    <x:row r="27" ht="34" customHeight="1">
      <x:c r="A27" s="46"/>
      <x:c r="B27" s="46"/>
      <x:c r="C27" s="46"/>
      <x:c r="D27" s="83" t="str">
        <x:f>IF(COUNTA(A27:C27)=0,"",IF(AND(A27&lt;&gt;"",COUNT(B27:C27)=2),"Valid pair","Complete ID and numeric X/Y"))</x:f>
      </x:c>
      <x:c r="E27" s="83" t="str">
        <x:f>IF(D27="Valid pair",B27,"")</x:f>
      </x:c>
      <x:c r="F27" s="83" t="str">
        <x:f>IF(D27="Valid pair",C27,"")</x:f>
      </x:c>
      <x:c r="G27" s="46"/>
      <x:c r="H27" s="3"/>
      <x:c r="I27" s="3"/>
      <x:c r="J27" s="3"/>
      <x:c r="K27" s="3"/>
      <x:c r="L27" s="3"/>
      <x:c r="M27" s="3"/>
      <x:c r="N27" s="3"/>
      <x:c r="O27" s="3"/>
      <x:c r="P27" s="3"/>
      <x:c r="Q27" s="3"/>
      <x:c r="R27" s="3"/>
    </x:row>
    <x:row r="28" ht="34" customHeight="1">
      <x:c r="A28" s="46"/>
      <x:c r="B28" s="46"/>
      <x:c r="C28" s="46"/>
      <x:c r="D28" s="83" t="str">
        <x:f>IF(COUNTA(A28:C28)=0,"",IF(AND(A28&lt;&gt;"",COUNT(B28:C28)=2),"Valid pair","Complete ID and numeric X/Y"))</x:f>
      </x:c>
      <x:c r="E28" s="83" t="str">
        <x:f>IF(D28="Valid pair",B28,"")</x:f>
      </x:c>
      <x:c r="F28" s="83" t="str">
        <x:f>IF(D28="Valid pair",C28,"")</x:f>
      </x:c>
      <x:c r="G28" s="46"/>
      <x:c r="H28" s="3"/>
      <x:c r="I28" s="3"/>
      <x:c r="J28" s="3"/>
      <x:c r="K28" s="3"/>
      <x:c r="L28" s="3"/>
      <x:c r="M28" s="3"/>
      <x:c r="N28" s="3"/>
      <x:c r="O28" s="3"/>
      <x:c r="P28" s="3"/>
      <x:c r="Q28" s="3"/>
      <x:c r="R28" s="3"/>
    </x:row>
    <x:row r="29" ht="34" customHeight="1">
      <x:c r="A29" s="46"/>
      <x:c r="B29" s="46"/>
      <x:c r="C29" s="46"/>
      <x:c r="D29" s="83" t="str">
        <x:f>IF(COUNTA(A29:C29)=0,"",IF(AND(A29&lt;&gt;"",COUNT(B29:C29)=2),"Valid pair","Complete ID and numeric X/Y"))</x:f>
      </x:c>
      <x:c r="E29" s="83" t="str">
        <x:f>IF(D29="Valid pair",B29,"")</x:f>
      </x:c>
      <x:c r="F29" s="83" t="str">
        <x:f>IF(D29="Valid pair",C29,"")</x:f>
      </x:c>
      <x:c r="G29" s="46"/>
      <x:c r="H29" s="3"/>
      <x:c r="I29" s="3"/>
      <x:c r="J29" s="3"/>
      <x:c r="K29" s="3"/>
      <x:c r="L29" s="3"/>
      <x:c r="M29" s="3"/>
      <x:c r="N29" s="3"/>
      <x:c r="O29" s="3"/>
      <x:c r="P29" s="3"/>
      <x:c r="Q29" s="3"/>
      <x:c r="R29" s="3"/>
    </x:row>
    <x:row r="30" ht="34" customHeight="1">
      <x:c r="A30" s="46"/>
      <x:c r="B30" s="46"/>
      <x:c r="C30" s="46"/>
      <x:c r="D30" s="83" t="str">
        <x:f>IF(COUNTA(A30:C30)=0,"",IF(AND(A30&lt;&gt;"",COUNT(B30:C30)=2),"Valid pair","Complete ID and numeric X/Y"))</x:f>
      </x:c>
      <x:c r="E30" s="83" t="str">
        <x:f>IF(D30="Valid pair",B30,"")</x:f>
      </x:c>
      <x:c r="F30" s="83" t="str">
        <x:f>IF(D30="Valid pair",C30,"")</x:f>
      </x:c>
      <x:c r="G30" s="46"/>
      <x:c r="H30" s="3"/>
      <x:c r="I30" s="3"/>
      <x:c r="J30" s="3"/>
      <x:c r="K30" s="3"/>
      <x:c r="L30" s="3"/>
      <x:c r="M30" s="3"/>
      <x:c r="N30" s="3"/>
      <x:c r="O30" s="3"/>
      <x:c r="P30" s="3"/>
      <x:c r="Q30" s="3"/>
      <x:c r="R30" s="3"/>
    </x:row>
    <x:row r="31" ht="34" customHeight="1">
      <x:c r="A31" s="46"/>
      <x:c r="B31" s="46"/>
      <x:c r="C31" s="46"/>
      <x:c r="D31" s="83" t="str">
        <x:f>IF(COUNTA(A31:C31)=0,"",IF(AND(A31&lt;&gt;"",COUNT(B31:C31)=2),"Valid pair","Complete ID and numeric X/Y"))</x:f>
      </x:c>
      <x:c r="E31" s="83" t="str">
        <x:f>IF(D31="Valid pair",B31,"")</x:f>
      </x:c>
      <x:c r="F31" s="83" t="str">
        <x:f>IF(D31="Valid pair",C31,"")</x:f>
      </x:c>
      <x:c r="G31" s="46"/>
      <x:c r="H31" s="3"/>
      <x:c r="I31" s="3"/>
      <x:c r="J31" s="3"/>
      <x:c r="K31" s="3"/>
      <x:c r="L31" s="3"/>
      <x:c r="M31" s="3"/>
      <x:c r="N31" s="3"/>
      <x:c r="O31" s="3"/>
      <x:c r="P31" s="3"/>
      <x:c r="Q31" s="3"/>
      <x:c r="R31" s="3"/>
    </x:row>
    <x:row r="32" ht="34" customHeight="1">
      <x:c r="A32" s="46"/>
      <x:c r="B32" s="46"/>
      <x:c r="C32" s="46"/>
      <x:c r="D32" s="83" t="str">
        <x:f>IF(COUNTA(A32:C32)=0,"",IF(AND(A32&lt;&gt;"",COUNT(B32:C32)=2),"Valid pair","Complete ID and numeric X/Y"))</x:f>
      </x:c>
      <x:c r="E32" s="83" t="str">
        <x:f>IF(D32="Valid pair",B32,"")</x:f>
      </x:c>
      <x:c r="F32" s="83" t="str">
        <x:f>IF(D32="Valid pair",C32,"")</x:f>
      </x:c>
      <x:c r="G32" s="46"/>
      <x:c r="H32" s="3"/>
      <x:c r="I32" s="3"/>
      <x:c r="J32" s="3"/>
      <x:c r="K32" s="3"/>
      <x:c r="L32" s="3"/>
      <x:c r="M32" s="3"/>
      <x:c r="N32" s="3"/>
      <x:c r="O32" s="3"/>
      <x:c r="P32" s="3"/>
      <x:c r="Q32" s="3"/>
      <x:c r="R32" s="3"/>
    </x:row>
    <x:row r="33" ht="34" customHeight="1">
      <x:c r="A33" s="46"/>
      <x:c r="B33" s="46"/>
      <x:c r="C33" s="46"/>
      <x:c r="D33" s="83" t="str">
        <x:f>IF(COUNTA(A33:C33)=0,"",IF(AND(A33&lt;&gt;"",COUNT(B33:C33)=2),"Valid pair","Complete ID and numeric X/Y"))</x:f>
      </x:c>
      <x:c r="E33" s="83" t="str">
        <x:f>IF(D33="Valid pair",B33,"")</x:f>
      </x:c>
      <x:c r="F33" s="83" t="str">
        <x:f>IF(D33="Valid pair",C33,"")</x:f>
      </x:c>
      <x:c r="G33" s="46"/>
      <x:c r="H33" s="3"/>
      <x:c r="I33" s="3"/>
      <x:c r="J33" s="3"/>
      <x:c r="K33" s="3"/>
      <x:c r="L33" s="3"/>
      <x:c r="M33" s="3"/>
      <x:c r="N33" s="3"/>
      <x:c r="O33" s="3"/>
      <x:c r="P33" s="3"/>
      <x:c r="Q33" s="3"/>
      <x:c r="R33" s="3"/>
    </x:row>
    <x:row r="34" ht="34" customHeight="1">
      <x:c r="A34" s="46"/>
      <x:c r="B34" s="46"/>
      <x:c r="C34" s="46"/>
      <x:c r="D34" s="83" t="str">
        <x:f>IF(COUNTA(A34:C34)=0,"",IF(AND(A34&lt;&gt;"",COUNT(B34:C34)=2),"Valid pair","Complete ID and numeric X/Y"))</x:f>
      </x:c>
      <x:c r="E34" s="83" t="str">
        <x:f>IF(D34="Valid pair",B34,"")</x:f>
      </x:c>
      <x:c r="F34" s="83" t="str">
        <x:f>IF(D34="Valid pair",C34,"")</x:f>
      </x:c>
      <x:c r="G34" s="46"/>
      <x:c r="H34" s="3"/>
      <x:c r="I34" s="3"/>
      <x:c r="J34" s="3"/>
      <x:c r="K34" s="3"/>
      <x:c r="L34" s="3"/>
      <x:c r="M34" s="3"/>
      <x:c r="N34" s="3"/>
      <x:c r="O34" s="3"/>
      <x:c r="P34" s="3"/>
      <x:c r="Q34" s="3"/>
      <x:c r="R34" s="3"/>
    </x:row>
    <x:row r="35" ht="34" customHeight="1">
      <x:c r="A35" s="46"/>
      <x:c r="B35" s="46"/>
      <x:c r="C35" s="46"/>
      <x:c r="D35" s="83" t="str">
        <x:f>IF(COUNTA(A35:C35)=0,"",IF(AND(A35&lt;&gt;"",COUNT(B35:C35)=2),"Valid pair","Complete ID and numeric X/Y"))</x:f>
      </x:c>
      <x:c r="E35" s="83" t="str">
        <x:f>IF(D35="Valid pair",B35,"")</x:f>
      </x:c>
      <x:c r="F35" s="83" t="str">
        <x:f>IF(D35="Valid pair",C35,"")</x:f>
      </x:c>
      <x:c r="G35" s="46"/>
      <x:c r="H35" s="3"/>
      <x:c r="I35" s="3"/>
      <x:c r="J35" s="3"/>
      <x:c r="K35" s="3"/>
      <x:c r="L35" s="3"/>
      <x:c r="M35" s="3"/>
      <x:c r="N35" s="3"/>
      <x:c r="O35" s="3"/>
      <x:c r="P35" s="3"/>
      <x:c r="Q35" s="3"/>
      <x:c r="R35" s="3"/>
    </x:row>
    <x:row r="36" ht="34" customHeight="1">
      <x:c r="A36" s="46"/>
      <x:c r="B36" s="46"/>
      <x:c r="C36" s="46"/>
      <x:c r="D36" s="83" t="str">
        <x:f>IF(COUNTA(A36:C36)=0,"",IF(AND(A36&lt;&gt;"",COUNT(B36:C36)=2),"Valid pair","Complete ID and numeric X/Y"))</x:f>
      </x:c>
      <x:c r="E36" s="83" t="str">
        <x:f>IF(D36="Valid pair",B36,"")</x:f>
      </x:c>
      <x:c r="F36" s="83" t="str">
        <x:f>IF(D36="Valid pair",C36,"")</x:f>
      </x:c>
      <x:c r="G36" s="46"/>
      <x:c r="H36" s="3"/>
      <x:c r="I36" s="3"/>
      <x:c r="J36" s="3"/>
      <x:c r="K36" s="3"/>
      <x:c r="L36" s="3"/>
      <x:c r="M36" s="3"/>
      <x:c r="N36" s="3"/>
      <x:c r="O36" s="3"/>
      <x:c r="P36" s="3"/>
      <x:c r="Q36" s="3"/>
      <x:c r="R36" s="3"/>
    </x:row>
    <x:row r="37" ht="34" customHeight="1">
      <x:c r="A37" s="46"/>
      <x:c r="B37" s="46"/>
      <x:c r="C37" s="46"/>
      <x:c r="D37" s="83" t="str">
        <x:f>IF(COUNTA(A37:C37)=0,"",IF(AND(A37&lt;&gt;"",COUNT(B37:C37)=2),"Valid pair","Complete ID and numeric X/Y"))</x:f>
      </x:c>
      <x:c r="E37" s="83" t="str">
        <x:f>IF(D37="Valid pair",B37,"")</x:f>
      </x:c>
      <x:c r="F37" s="83" t="str">
        <x:f>IF(D37="Valid pair",C37,"")</x:f>
      </x:c>
      <x:c r="G37" s="46"/>
      <x:c r="H37" s="3"/>
      <x:c r="I37" s="3"/>
      <x:c r="J37" s="3"/>
      <x:c r="K37" s="3"/>
      <x:c r="L37" s="3"/>
      <x:c r="M37" s="3"/>
      <x:c r="N37" s="3"/>
      <x:c r="O37" s="3"/>
      <x:c r="P37" s="3"/>
      <x:c r="Q37" s="3"/>
      <x:c r="R37" s="3"/>
    </x:row>
    <x:row r="38" ht="34" customHeight="1">
      <x:c r="A38" s="46"/>
      <x:c r="B38" s="46"/>
      <x:c r="C38" s="46"/>
      <x:c r="D38" s="83" t="str">
        <x:f>IF(COUNTA(A38:C38)=0,"",IF(AND(A38&lt;&gt;"",COUNT(B38:C38)=2),"Valid pair","Complete ID and numeric X/Y"))</x:f>
      </x:c>
      <x:c r="E38" s="83" t="str">
        <x:f>IF(D38="Valid pair",B38,"")</x:f>
      </x:c>
      <x:c r="F38" s="83" t="str">
        <x:f>IF(D38="Valid pair",C38,"")</x:f>
      </x:c>
      <x:c r="G38" s="46"/>
      <x:c r="H38" s="3"/>
      <x:c r="I38" s="3"/>
      <x:c r="J38" s="3"/>
      <x:c r="K38" s="3"/>
      <x:c r="L38" s="3"/>
      <x:c r="M38" s="3"/>
      <x:c r="N38" s="3"/>
      <x:c r="O38" s="3"/>
      <x:c r="P38" s="3"/>
      <x:c r="Q38" s="3"/>
      <x:c r="R38" s="3"/>
    </x:row>
    <x:row r="39" ht="34" customHeight="1">
      <x:c r="A39" s="46"/>
      <x:c r="B39" s="46"/>
      <x:c r="C39" s="46"/>
      <x:c r="D39" s="83" t="str">
        <x:f>IF(COUNTA(A39:C39)=0,"",IF(AND(A39&lt;&gt;"",COUNT(B39:C39)=2),"Valid pair","Complete ID and numeric X/Y"))</x:f>
      </x:c>
      <x:c r="E39" s="83" t="str">
        <x:f>IF(D39="Valid pair",B39,"")</x:f>
      </x:c>
      <x:c r="F39" s="83" t="str">
        <x:f>IF(D39="Valid pair",C39,"")</x:f>
      </x:c>
      <x:c r="G39" s="46"/>
      <x:c r="H39" s="3"/>
      <x:c r="I39" s="3"/>
      <x:c r="J39" s="3"/>
      <x:c r="K39" s="3"/>
      <x:c r="L39" s="3"/>
      <x:c r="M39" s="3"/>
      <x:c r="N39" s="3"/>
      <x:c r="O39" s="3"/>
      <x:c r="P39" s="3"/>
      <x:c r="Q39" s="3"/>
      <x:c r="R39" s="3"/>
    </x:row>
    <x:row r="40" ht="34" customHeight="1">
      <x:c r="A40" s="46"/>
      <x:c r="B40" s="46"/>
      <x:c r="C40" s="46"/>
      <x:c r="D40" s="83" t="str">
        <x:f>IF(COUNTA(A40:C40)=0,"",IF(AND(A40&lt;&gt;"",COUNT(B40:C40)=2),"Valid pair","Complete ID and numeric X/Y"))</x:f>
      </x:c>
      <x:c r="E40" s="83" t="str">
        <x:f>IF(D40="Valid pair",B40,"")</x:f>
      </x:c>
      <x:c r="F40" s="83" t="str">
        <x:f>IF(D40="Valid pair",C40,"")</x:f>
      </x:c>
      <x:c r="G40" s="46"/>
      <x:c r="H40" s="3"/>
      <x:c r="I40" s="3"/>
      <x:c r="J40" s="3"/>
      <x:c r="K40" s="3"/>
      <x:c r="L40" s="3"/>
      <x:c r="M40" s="3"/>
      <x:c r="N40" s="3"/>
      <x:c r="O40" s="3"/>
      <x:c r="P40" s="3"/>
      <x:c r="Q40" s="3"/>
      <x:c r="R40" s="3"/>
    </x:row>
    <x:row r="41" ht="34" customHeight="1">
      <x:c r="A41" s="46"/>
      <x:c r="B41" s="46"/>
      <x:c r="C41" s="46"/>
      <x:c r="D41" s="83" t="str">
        <x:f>IF(COUNTA(A41:C41)=0,"",IF(AND(A41&lt;&gt;"",COUNT(B41:C41)=2),"Valid pair","Complete ID and numeric X/Y"))</x:f>
      </x:c>
      <x:c r="E41" s="83" t="str">
        <x:f>IF(D41="Valid pair",B41,"")</x:f>
      </x:c>
      <x:c r="F41" s="83" t="str">
        <x:f>IF(D41="Valid pair",C41,"")</x:f>
      </x:c>
      <x:c r="G41" s="46"/>
      <x:c r="H41" s="3"/>
      <x:c r="I41" s="3"/>
      <x:c r="J41" s="3"/>
      <x:c r="K41" s="3"/>
      <x:c r="L41" s="3"/>
      <x:c r="M41" s="3"/>
      <x:c r="N41" s="3"/>
      <x:c r="O41" s="3"/>
      <x:c r="P41" s="3"/>
      <x:c r="Q41" s="3"/>
      <x:c r="R41" s="3"/>
    </x:row>
    <x:row r="42" ht="34" customHeight="1">
      <x:c r="A42" s="46"/>
      <x:c r="B42" s="46"/>
      <x:c r="C42" s="46"/>
      <x:c r="D42" s="83" t="str">
        <x:f>IF(COUNTA(A42:C42)=0,"",IF(AND(A42&lt;&gt;"",COUNT(B42:C42)=2),"Valid pair","Complete ID and numeric X/Y"))</x:f>
      </x:c>
      <x:c r="E42" s="83" t="str">
        <x:f>IF(D42="Valid pair",B42,"")</x:f>
      </x:c>
      <x:c r="F42" s="83" t="str">
        <x:f>IF(D42="Valid pair",C42,"")</x:f>
      </x:c>
      <x:c r="G42" s="46"/>
      <x:c r="H42" s="3"/>
      <x:c r="I42" s="3"/>
      <x:c r="J42" s="3"/>
      <x:c r="K42" s="3"/>
      <x:c r="L42" s="3"/>
      <x:c r="M42" s="3"/>
      <x:c r="N42" s="3"/>
      <x:c r="O42" s="3"/>
      <x:c r="P42" s="3"/>
      <x:c r="Q42" s="3"/>
      <x:c r="R42" s="3"/>
    </x:row>
    <x:row r="43" ht="34" customHeight="1">
      <x:c r="A43" s="46"/>
      <x:c r="B43" s="46"/>
      <x:c r="C43" s="46"/>
      <x:c r="D43" s="83" t="str">
        <x:f>IF(COUNTA(A43:C43)=0,"",IF(AND(A43&lt;&gt;"",COUNT(B43:C43)=2),"Valid pair","Complete ID and numeric X/Y"))</x:f>
      </x:c>
      <x:c r="E43" s="83" t="str">
        <x:f>IF(D43="Valid pair",B43,"")</x:f>
      </x:c>
      <x:c r="F43" s="83" t="str">
        <x:f>IF(D43="Valid pair",C43,"")</x:f>
      </x:c>
      <x:c r="G43" s="46"/>
      <x:c r="H43" s="3"/>
      <x:c r="I43" s="3"/>
      <x:c r="J43" s="3"/>
      <x:c r="K43" s="3"/>
      <x:c r="L43" s="3"/>
      <x:c r="M43" s="3"/>
      <x:c r="N43" s="3"/>
      <x:c r="O43" s="3"/>
      <x:c r="P43" s="3"/>
      <x:c r="Q43" s="3"/>
      <x:c r="R43" s="3"/>
    </x:row>
    <x:row r="44" ht="34" customHeight="1">
      <x:c r="A44" s="46"/>
      <x:c r="B44" s="46"/>
      <x:c r="C44" s="46"/>
      <x:c r="D44" s="83" t="str">
        <x:f>IF(COUNTA(A44:C44)=0,"",IF(AND(A44&lt;&gt;"",COUNT(B44:C44)=2),"Valid pair","Complete ID and numeric X/Y"))</x:f>
      </x:c>
      <x:c r="E44" s="83" t="str">
        <x:f>IF(D44="Valid pair",B44,"")</x:f>
      </x:c>
      <x:c r="F44" s="83" t="str">
        <x:f>IF(D44="Valid pair",C44,"")</x:f>
      </x:c>
      <x:c r="G44" s="46"/>
      <x:c r="H44" s="3"/>
      <x:c r="I44" s="3"/>
      <x:c r="J44" s="3"/>
      <x:c r="K44" s="3"/>
      <x:c r="L44" s="3"/>
      <x:c r="M44" s="3"/>
      <x:c r="N44" s="3"/>
      <x:c r="O44" s="3"/>
      <x:c r="P44" s="3"/>
      <x:c r="Q44" s="3"/>
      <x:c r="R44" s="3"/>
    </x:row>
    <x:row r="45" ht="34" customHeight="1">
      <x:c r="A45" s="46"/>
      <x:c r="B45" s="46"/>
      <x:c r="C45" s="46"/>
      <x:c r="D45" s="83" t="str">
        <x:f>IF(COUNTA(A45:C45)=0,"",IF(AND(A45&lt;&gt;"",COUNT(B45:C45)=2),"Valid pair","Complete ID and numeric X/Y"))</x:f>
      </x:c>
      <x:c r="E45" s="83" t="str">
        <x:f>IF(D45="Valid pair",B45,"")</x:f>
      </x:c>
      <x:c r="F45" s="83" t="str">
        <x:f>IF(D45="Valid pair",C45,"")</x:f>
      </x:c>
      <x:c r="G45" s="46"/>
      <x:c r="H45" s="3"/>
      <x:c r="I45" s="3"/>
      <x:c r="J45" s="3"/>
      <x:c r="K45" s="3"/>
      <x:c r="L45" s="3"/>
      <x:c r="M45" s="3"/>
      <x:c r="N45" s="3"/>
      <x:c r="O45" s="3"/>
      <x:c r="P45" s="3"/>
      <x:c r="Q45" s="3"/>
      <x:c r="R45" s="3"/>
    </x:row>
    <x:row r="46" ht="34" customHeight="1">
      <x:c r="A46" s="46"/>
      <x:c r="B46" s="46"/>
      <x:c r="C46" s="46"/>
      <x:c r="D46" s="83" t="str">
        <x:f>IF(COUNTA(A46:C46)=0,"",IF(AND(A46&lt;&gt;"",COUNT(B46:C46)=2),"Valid pair","Complete ID and numeric X/Y"))</x:f>
      </x:c>
      <x:c r="E46" s="83" t="str">
        <x:f>IF(D46="Valid pair",B46,"")</x:f>
      </x:c>
      <x:c r="F46" s="83" t="str">
        <x:f>IF(D46="Valid pair",C46,"")</x:f>
      </x:c>
      <x:c r="G46" s="46"/>
      <x:c r="H46" s="3"/>
      <x:c r="I46" s="3"/>
      <x:c r="J46" s="3"/>
      <x:c r="K46" s="3"/>
      <x:c r="L46" s="3"/>
      <x:c r="M46" s="3"/>
      <x:c r="N46" s="3"/>
      <x:c r="O46" s="3"/>
      <x:c r="P46" s="3"/>
      <x:c r="Q46" s="3"/>
      <x:c r="R46" s="3"/>
    </x:row>
    <x:row r="47" ht="34" customHeight="1">
      <x:c r="A47" s="46"/>
      <x:c r="B47" s="46"/>
      <x:c r="C47" s="46"/>
      <x:c r="D47" s="83" t="str">
        <x:f>IF(COUNTA(A47:C47)=0,"",IF(AND(A47&lt;&gt;"",COUNT(B47:C47)=2),"Valid pair","Complete ID and numeric X/Y"))</x:f>
      </x:c>
      <x:c r="E47" s="83" t="str">
        <x:f>IF(D47="Valid pair",B47,"")</x:f>
      </x:c>
      <x:c r="F47" s="83" t="str">
        <x:f>IF(D47="Valid pair",C47,"")</x:f>
      </x:c>
      <x:c r="G47" s="46"/>
      <x:c r="H47" s="3"/>
      <x:c r="I47" s="3"/>
      <x:c r="J47" s="3"/>
      <x:c r="K47" s="3"/>
      <x:c r="L47" s="3"/>
      <x:c r="M47" s="3"/>
      <x:c r="N47" s="3"/>
      <x:c r="O47" s="3"/>
      <x:c r="P47" s="3"/>
      <x:c r="Q47" s="3"/>
      <x:c r="R47" s="3"/>
    </x:row>
    <x:row r="48" ht="34" customHeight="1">
      <x:c r="A48" s="46"/>
      <x:c r="B48" s="46"/>
      <x:c r="C48" s="46"/>
      <x:c r="D48" s="83" t="str">
        <x:f>IF(COUNTA(A48:C48)=0,"",IF(AND(A48&lt;&gt;"",COUNT(B48:C48)=2),"Valid pair","Complete ID and numeric X/Y"))</x:f>
      </x:c>
      <x:c r="E48" s="83" t="str">
        <x:f>IF(D48="Valid pair",B48,"")</x:f>
      </x:c>
      <x:c r="F48" s="83" t="str">
        <x:f>IF(D48="Valid pair",C48,"")</x:f>
      </x:c>
      <x:c r="G48" s="46"/>
      <x:c r="H48" s="3"/>
      <x:c r="I48" s="3"/>
      <x:c r="J48" s="3"/>
      <x:c r="K48" s="3"/>
      <x:c r="L48" s="3"/>
      <x:c r="M48" s="3"/>
      <x:c r="N48" s="3"/>
      <x:c r="O48" s="3"/>
      <x:c r="P48" s="3"/>
      <x:c r="Q48" s="3"/>
      <x:c r="R48" s="3"/>
    </x:row>
    <x:row r="49" ht="34" customHeight="1">
      <x:c r="A49" s="46"/>
      <x:c r="B49" s="46"/>
      <x:c r="C49" s="46"/>
      <x:c r="D49" s="83" t="str">
        <x:f>IF(COUNTA(A49:C49)=0,"",IF(AND(A49&lt;&gt;"",COUNT(B49:C49)=2),"Valid pair","Complete ID and numeric X/Y"))</x:f>
      </x:c>
      <x:c r="E49" s="83" t="str">
        <x:f>IF(D49="Valid pair",B49,"")</x:f>
      </x:c>
      <x:c r="F49" s="83" t="str">
        <x:f>IF(D49="Valid pair",C49,"")</x:f>
      </x:c>
      <x:c r="G49" s="46"/>
      <x:c r="H49" s="3"/>
      <x:c r="I49" s="3"/>
      <x:c r="J49" s="3"/>
      <x:c r="K49" s="3"/>
      <x:c r="L49" s="3"/>
      <x:c r="M49" s="3"/>
      <x:c r="N49" s="3"/>
      <x:c r="O49" s="3"/>
      <x:c r="P49" s="3"/>
      <x:c r="Q49" s="3"/>
      <x:c r="R49" s="3"/>
    </x:row>
    <x:row r="50" ht="34" customHeight="1">
      <x:c r="A50" s="46"/>
      <x:c r="B50" s="46"/>
      <x:c r="C50" s="46"/>
      <x:c r="D50" s="83" t="str">
        <x:f>IF(COUNTA(A50:C50)=0,"",IF(AND(A50&lt;&gt;"",COUNT(B50:C50)=2),"Valid pair","Complete ID and numeric X/Y"))</x:f>
      </x:c>
      <x:c r="E50" s="83" t="str">
        <x:f>IF(D50="Valid pair",B50,"")</x:f>
      </x:c>
      <x:c r="F50" s="83" t="str">
        <x:f>IF(D50="Valid pair",C50,"")</x:f>
      </x:c>
      <x:c r="G50" s="46"/>
      <x:c r="H50" s="3"/>
      <x:c r="I50" s="3"/>
      <x:c r="J50" s="3"/>
      <x:c r="K50" s="3"/>
      <x:c r="L50" s="3"/>
      <x:c r="M50" s="3"/>
      <x:c r="N50" s="3"/>
      <x:c r="O50" s="3"/>
      <x:c r="P50" s="3"/>
      <x:c r="Q50" s="3"/>
      <x:c r="R50" s="3"/>
    </x:row>
    <x:row r="51" ht="34" customHeight="1">
      <x:c r="A51" s="46"/>
      <x:c r="B51" s="46"/>
      <x:c r="C51" s="46"/>
      <x:c r="D51" s="83" t="str">
        <x:f>IF(COUNTA(A51:C51)=0,"",IF(AND(A51&lt;&gt;"",COUNT(B51:C51)=2),"Valid pair","Complete ID and numeric X/Y"))</x:f>
      </x:c>
      <x:c r="E51" s="83" t="str">
        <x:f>IF(D51="Valid pair",B51,"")</x:f>
      </x:c>
      <x:c r="F51" s="83" t="str">
        <x:f>IF(D51="Valid pair",C51,"")</x:f>
      </x:c>
      <x:c r="G51" s="46"/>
      <x:c r="H51" s="3"/>
      <x:c r="I51" s="3"/>
      <x:c r="J51" s="3"/>
      <x:c r="K51" s="3"/>
      <x:c r="L51" s="3"/>
      <x:c r="M51" s="3"/>
      <x:c r="N51" s="3"/>
      <x:c r="O51" s="3"/>
      <x:c r="P51" s="3"/>
      <x:c r="Q51" s="3"/>
      <x:c r="R51" s="3"/>
    </x:row>
    <x:row r="52" ht="34" customHeight="1">
      <x:c r="A52" s="46"/>
      <x:c r="B52" s="46"/>
      <x:c r="C52" s="46"/>
      <x:c r="D52" s="83" t="str">
        <x:f>IF(COUNTA(A52:C52)=0,"",IF(AND(A52&lt;&gt;"",COUNT(B52:C52)=2),"Valid pair","Complete ID and numeric X/Y"))</x:f>
      </x:c>
      <x:c r="E52" s="83" t="str">
        <x:f>IF(D52="Valid pair",B52,"")</x:f>
      </x:c>
      <x:c r="F52" s="83" t="str">
        <x:f>IF(D52="Valid pair",C52,"")</x:f>
      </x:c>
      <x:c r="G52" s="46"/>
      <x:c r="H52" s="3"/>
      <x:c r="I52" s="3"/>
      <x:c r="J52" s="3"/>
      <x:c r="K52" s="3"/>
      <x:c r="L52" s="3"/>
      <x:c r="M52" s="3"/>
      <x:c r="N52" s="3"/>
      <x:c r="O52" s="3"/>
      <x:c r="P52" s="3"/>
      <x:c r="Q52" s="3"/>
      <x:c r="R52" s="3"/>
    </x:row>
    <x:row r="53" ht="34" customHeight="1">
      <x:c r="A53" s="46"/>
      <x:c r="B53" s="46"/>
      <x:c r="C53" s="46"/>
      <x:c r="D53" s="83" t="str">
        <x:f>IF(COUNTA(A53:C53)=0,"",IF(AND(A53&lt;&gt;"",COUNT(B53:C53)=2),"Valid pair","Complete ID and numeric X/Y"))</x:f>
      </x:c>
      <x:c r="E53" s="83" t="str">
        <x:f>IF(D53="Valid pair",B53,"")</x:f>
      </x:c>
      <x:c r="F53" s="83" t="str">
        <x:f>IF(D53="Valid pair",C53,"")</x:f>
      </x:c>
      <x:c r="G53" s="46"/>
      <x:c r="H53" s="3"/>
      <x:c r="I53" s="3"/>
      <x:c r="J53" s="3"/>
      <x:c r="K53" s="3"/>
      <x:c r="L53" s="3"/>
      <x:c r="M53" s="3"/>
      <x:c r="N53" s="3"/>
      <x:c r="O53" s="3"/>
      <x:c r="P53" s="3"/>
      <x:c r="Q53" s="3"/>
      <x:c r="R53" s="3"/>
    </x:row>
    <x:row r="54" ht="34" customHeight="1">
      <x:c r="A54" s="46"/>
      <x:c r="B54" s="46"/>
      <x:c r="C54" s="46"/>
      <x:c r="D54" s="83" t="str">
        <x:f>IF(COUNTA(A54:C54)=0,"",IF(AND(A54&lt;&gt;"",COUNT(B54:C54)=2),"Valid pair","Complete ID and numeric X/Y"))</x:f>
      </x:c>
      <x:c r="E54" s="83" t="str">
        <x:f>IF(D54="Valid pair",B54,"")</x:f>
      </x:c>
      <x:c r="F54" s="83" t="str">
        <x:f>IF(D54="Valid pair",C54,"")</x:f>
      </x:c>
      <x:c r="G54" s="46"/>
      <x:c r="H54" s="3"/>
      <x:c r="I54" s="3"/>
      <x:c r="J54" s="3"/>
      <x:c r="K54" s="3"/>
      <x:c r="L54" s="3"/>
      <x:c r="M54" s="3"/>
      <x:c r="N54" s="3"/>
      <x:c r="O54" s="3"/>
      <x:c r="P54" s="3"/>
      <x:c r="Q54" s="3"/>
      <x:c r="R54" s="3"/>
    </x:row>
    <x:row r="55" ht="34" customHeight="1">
      <x:c r="A55" s="46"/>
      <x:c r="B55" s="46"/>
      <x:c r="C55" s="46"/>
      <x:c r="D55" s="83" t="str">
        <x:f>IF(COUNTA(A55:C55)=0,"",IF(AND(A55&lt;&gt;"",COUNT(B55:C55)=2),"Valid pair","Complete ID and numeric X/Y"))</x:f>
      </x:c>
      <x:c r="E55" s="83" t="str">
        <x:f>IF(D55="Valid pair",B55,"")</x:f>
      </x:c>
      <x:c r="F55" s="83" t="str">
        <x:f>IF(D55="Valid pair",C55,"")</x:f>
      </x:c>
      <x:c r="G55" s="46"/>
      <x:c r="H55" s="3"/>
      <x:c r="I55" s="3"/>
      <x:c r="J55" s="3"/>
      <x:c r="K55" s="3"/>
      <x:c r="L55" s="3"/>
      <x:c r="M55" s="3"/>
      <x:c r="N55" s="3"/>
      <x:c r="O55" s="3"/>
      <x:c r="P55" s="3"/>
      <x:c r="Q55" s="3"/>
      <x:c r="R55" s="3"/>
    </x:row>
    <x:row r="56" ht="34" customHeight="1">
      <x:c r="A56" s="46"/>
      <x:c r="B56" s="46"/>
      <x:c r="C56" s="46"/>
      <x:c r="D56" s="83" t="str">
        <x:f>IF(COUNTA(A56:C56)=0,"",IF(AND(A56&lt;&gt;"",COUNT(B56:C56)=2),"Valid pair","Complete ID and numeric X/Y"))</x:f>
      </x:c>
      <x:c r="E56" s="83" t="str">
        <x:f>IF(D56="Valid pair",B56,"")</x:f>
      </x:c>
      <x:c r="F56" s="83" t="str">
        <x:f>IF(D56="Valid pair",C56,"")</x:f>
      </x:c>
      <x:c r="G56" s="46"/>
      <x:c r="H56" s="3"/>
      <x:c r="I56" s="3"/>
      <x:c r="J56" s="3"/>
      <x:c r="K56" s="3"/>
      <x:c r="L56" s="3"/>
      <x:c r="M56" s="3"/>
      <x:c r="N56" s="3"/>
      <x:c r="O56" s="3"/>
      <x:c r="P56" s="3"/>
      <x:c r="Q56" s="3"/>
      <x:c r="R56" s="3"/>
    </x:row>
    <x:row r="57" ht="34" customHeight="1">
      <x:c r="A57" s="46"/>
      <x:c r="B57" s="46"/>
      <x:c r="C57" s="46"/>
      <x:c r="D57" s="83" t="str">
        <x:f>IF(COUNTA(A57:C57)=0,"",IF(AND(A57&lt;&gt;"",COUNT(B57:C57)=2),"Valid pair","Complete ID and numeric X/Y"))</x:f>
      </x:c>
      <x:c r="E57" s="83" t="str">
        <x:f>IF(D57="Valid pair",B57,"")</x:f>
      </x:c>
      <x:c r="F57" s="83" t="str">
        <x:f>IF(D57="Valid pair",C57,"")</x:f>
      </x:c>
      <x:c r="G57" s="46"/>
      <x:c r="H57" s="3"/>
      <x:c r="I57" s="3"/>
      <x:c r="J57" s="3"/>
      <x:c r="K57" s="3"/>
      <x:c r="L57" s="3"/>
      <x:c r="M57" s="3"/>
      <x:c r="N57" s="3"/>
      <x:c r="O57" s="3"/>
      <x:c r="P57" s="3"/>
      <x:c r="Q57" s="3"/>
      <x:c r="R57" s="3"/>
    </x:row>
    <x:row r="58" ht="34" customHeight="1">
      <x:c r="A58" s="46"/>
      <x:c r="B58" s="46"/>
      <x:c r="C58" s="46"/>
      <x:c r="D58" s="83" t="str">
        <x:f>IF(COUNTA(A58:C58)=0,"",IF(AND(A58&lt;&gt;"",COUNT(B58:C58)=2),"Valid pair","Complete ID and numeric X/Y"))</x:f>
      </x:c>
      <x:c r="E58" s="83" t="str">
        <x:f>IF(D58="Valid pair",B58,"")</x:f>
      </x:c>
      <x:c r="F58" s="83" t="str">
        <x:f>IF(D58="Valid pair",C58,"")</x:f>
      </x:c>
      <x:c r="G58" s="46"/>
      <x:c r="H58" s="3"/>
      <x:c r="I58" s="3"/>
      <x:c r="J58" s="3"/>
      <x:c r="K58" s="3"/>
      <x:c r="L58" s="3"/>
      <x:c r="M58" s="3"/>
      <x:c r="N58" s="3"/>
      <x:c r="O58" s="3"/>
      <x:c r="P58" s="3"/>
      <x:c r="Q58" s="3"/>
      <x:c r="R58" s="3"/>
    </x:row>
    <x:row r="59" ht="34" customHeight="1">
      <x:c r="A59" s="46"/>
      <x:c r="B59" s="46"/>
      <x:c r="C59" s="46"/>
      <x:c r="D59" s="83" t="str">
        <x:f>IF(COUNTA(A59:C59)=0,"",IF(AND(A59&lt;&gt;"",COUNT(B59:C59)=2),"Valid pair","Complete ID and numeric X/Y"))</x:f>
      </x:c>
      <x:c r="E59" s="83" t="str">
        <x:f>IF(D59="Valid pair",B59,"")</x:f>
      </x:c>
      <x:c r="F59" s="83" t="str">
        <x:f>IF(D59="Valid pair",C59,"")</x:f>
      </x:c>
      <x:c r="G59" s="46"/>
      <x:c r="H59" s="3"/>
      <x:c r="I59" s="3"/>
      <x:c r="J59" s="3"/>
      <x:c r="K59" s="3"/>
      <x:c r="L59" s="3"/>
      <x:c r="M59" s="3"/>
      <x:c r="N59" s="3"/>
      <x:c r="O59" s="3"/>
      <x:c r="P59" s="3"/>
      <x:c r="Q59" s="3"/>
      <x:c r="R59" s="3"/>
    </x:row>
    <x:row r="60" ht="34" customHeight="1">
      <x:c r="A60" s="46"/>
      <x:c r="B60" s="46"/>
      <x:c r="C60" s="46"/>
      <x:c r="D60" s="83" t="str">
        <x:f>IF(COUNTA(A60:C60)=0,"",IF(AND(A60&lt;&gt;"",COUNT(B60:C60)=2),"Valid pair","Complete ID and numeric X/Y"))</x:f>
      </x:c>
      <x:c r="E60" s="83" t="str">
        <x:f>IF(D60="Valid pair",B60,"")</x:f>
      </x:c>
      <x:c r="F60" s="83" t="str">
        <x:f>IF(D60="Valid pair",C60,"")</x:f>
      </x:c>
      <x:c r="G60" s="46"/>
      <x:c r="H60" s="3"/>
      <x:c r="I60" s="3"/>
      <x:c r="J60" s="3"/>
      <x:c r="K60" s="3"/>
      <x:c r="L60" s="3"/>
      <x:c r="M60" s="3"/>
      <x:c r="N60" s="3"/>
      <x:c r="O60" s="3"/>
      <x:c r="P60" s="3"/>
      <x:c r="Q60" s="3"/>
      <x:c r="R60" s="3"/>
    </x:row>
    <x:row r="61" ht="34" customHeight="1">
      <x:c r="A61" s="46"/>
      <x:c r="B61" s="46"/>
      <x:c r="C61" s="46"/>
      <x:c r="D61" s="83" t="str">
        <x:f>IF(COUNTA(A61:C61)=0,"",IF(AND(A61&lt;&gt;"",COUNT(B61:C61)=2),"Valid pair","Complete ID and numeric X/Y"))</x:f>
      </x:c>
      <x:c r="E61" s="83" t="str">
        <x:f>IF(D61="Valid pair",B61,"")</x:f>
      </x:c>
      <x:c r="F61" s="83" t="str">
        <x:f>IF(D61="Valid pair",C61,"")</x:f>
      </x:c>
      <x:c r="G61" s="46"/>
      <x:c r="H61" s="3"/>
      <x:c r="I61" s="3"/>
      <x:c r="J61" s="3"/>
      <x:c r="K61" s="3"/>
      <x:c r="L61" s="3"/>
      <x:c r="M61" s="3"/>
      <x:c r="N61" s="3"/>
      <x:c r="O61" s="3"/>
      <x:c r="P61" s="3"/>
      <x:c r="Q61" s="3"/>
      <x:c r="R61" s="3"/>
    </x:row>
    <x:row r="62" ht="34" customHeight="1">
      <x:c r="A62" s="46"/>
      <x:c r="B62" s="46"/>
      <x:c r="C62" s="46"/>
      <x:c r="D62" s="83" t="str">
        <x:f>IF(COUNTA(A62:C62)=0,"",IF(AND(A62&lt;&gt;"",COUNT(B62:C62)=2),"Valid pair","Complete ID and numeric X/Y"))</x:f>
      </x:c>
      <x:c r="E62" s="83" t="str">
        <x:f>IF(D62="Valid pair",B62,"")</x:f>
      </x:c>
      <x:c r="F62" s="83" t="str">
        <x:f>IF(D62="Valid pair",C62,"")</x:f>
      </x:c>
      <x:c r="G62" s="46"/>
      <x:c r="H62" s="3"/>
      <x:c r="I62" s="3"/>
      <x:c r="J62" s="3"/>
      <x:c r="K62" s="3"/>
      <x:c r="L62" s="3"/>
      <x:c r="M62" s="3"/>
      <x:c r="N62" s="3"/>
      <x:c r="O62" s="3"/>
      <x:c r="P62" s="3"/>
      <x:c r="Q62" s="3"/>
      <x:c r="R62" s="3"/>
    </x:row>
    <x:row r="63" ht="34" customHeight="1">
      <x:c r="A63" s="46"/>
      <x:c r="B63" s="46"/>
      <x:c r="C63" s="46"/>
      <x:c r="D63" s="83" t="str">
        <x:f>IF(COUNTA(A63:C63)=0,"",IF(AND(A63&lt;&gt;"",COUNT(B63:C63)=2),"Valid pair","Complete ID and numeric X/Y"))</x:f>
      </x:c>
      <x:c r="E63" s="83" t="str">
        <x:f>IF(D63="Valid pair",B63,"")</x:f>
      </x:c>
      <x:c r="F63" s="83" t="str">
        <x:f>IF(D63="Valid pair",C63,"")</x:f>
      </x:c>
      <x:c r="G63" s="46"/>
      <x:c r="H63" s="3"/>
      <x:c r="I63" s="3"/>
      <x:c r="J63" s="3"/>
      <x:c r="K63" s="3"/>
      <x:c r="L63" s="3"/>
      <x:c r="M63" s="3"/>
      <x:c r="N63" s="3"/>
      <x:c r="O63" s="3"/>
      <x:c r="P63" s="3"/>
      <x:c r="Q63" s="3"/>
      <x:c r="R63" s="3"/>
    </x:row>
    <x:row r="64" ht="34" customHeight="1">
      <x:c r="A64" s="46"/>
      <x:c r="B64" s="46"/>
      <x:c r="C64" s="46"/>
      <x:c r="D64" s="83" t="str">
        <x:f>IF(COUNTA(A64:C64)=0,"",IF(AND(A64&lt;&gt;"",COUNT(B64:C64)=2),"Valid pair","Complete ID and numeric X/Y"))</x:f>
      </x:c>
      <x:c r="E64" s="83" t="str">
        <x:f>IF(D64="Valid pair",B64,"")</x:f>
      </x:c>
      <x:c r="F64" s="83" t="str">
        <x:f>IF(D64="Valid pair",C64,"")</x:f>
      </x:c>
      <x:c r="G64" s="46"/>
      <x:c r="H64" s="3"/>
      <x:c r="I64" s="3"/>
      <x:c r="J64" s="3"/>
      <x:c r="K64" s="3"/>
      <x:c r="L64" s="3"/>
      <x:c r="M64" s="3"/>
      <x:c r="N64" s="3"/>
      <x:c r="O64" s="3"/>
      <x:c r="P64" s="3"/>
      <x:c r="Q64" s="3"/>
      <x:c r="R64" s="3"/>
    </x:row>
    <x:row r="65" ht="34" customHeight="1">
      <x:c r="A65" s="46"/>
      <x:c r="B65" s="46"/>
      <x:c r="C65" s="46"/>
      <x:c r="D65" s="83" t="str">
        <x:f>IF(COUNTA(A65:C65)=0,"",IF(AND(A65&lt;&gt;"",COUNT(B65:C65)=2),"Valid pair","Complete ID and numeric X/Y"))</x:f>
      </x:c>
      <x:c r="E65" s="83" t="str">
        <x:f>IF(D65="Valid pair",B65,"")</x:f>
      </x:c>
      <x:c r="F65" s="83" t="str">
        <x:f>IF(D65="Valid pair",C65,"")</x:f>
      </x:c>
      <x:c r="G65" s="46"/>
      <x:c r="H65" s="3"/>
      <x:c r="I65" s="3"/>
      <x:c r="J65" s="3"/>
      <x:c r="K65" s="3"/>
      <x:c r="L65" s="3"/>
      <x:c r="M65" s="3"/>
      <x:c r="N65" s="3"/>
      <x:c r="O65" s="3"/>
      <x:c r="P65" s="3"/>
      <x:c r="Q65" s="3"/>
      <x:c r="R65" s="3"/>
    </x:row>
    <x:row r="66" ht="34" customHeight="1">
      <x:c r="A66" s="46"/>
      <x:c r="B66" s="46"/>
      <x:c r="C66" s="46"/>
      <x:c r="D66" s="83" t="str">
        <x:f>IF(COUNTA(A66:C66)=0,"",IF(AND(A66&lt;&gt;"",COUNT(B66:C66)=2),"Valid pair","Complete ID and numeric X/Y"))</x:f>
      </x:c>
      <x:c r="E66" s="83" t="str">
        <x:f>IF(D66="Valid pair",B66,"")</x:f>
      </x:c>
      <x:c r="F66" s="83" t="str">
        <x:f>IF(D66="Valid pair",C66,"")</x:f>
      </x:c>
      <x:c r="G66" s="46"/>
      <x:c r="H66" s="3"/>
      <x:c r="I66" s="3"/>
      <x:c r="J66" s="3"/>
      <x:c r="K66" s="3"/>
      <x:c r="L66" s="3"/>
      <x:c r="M66" s="3"/>
      <x:c r="N66" s="3"/>
      <x:c r="O66" s="3"/>
      <x:c r="P66" s="3"/>
      <x:c r="Q66" s="3"/>
      <x:c r="R66" s="3"/>
    </x:row>
    <x:row r="67" ht="34" customHeight="1">
      <x:c r="A67" s="46"/>
      <x:c r="B67" s="46"/>
      <x:c r="C67" s="46"/>
      <x:c r="D67" s="83" t="str">
        <x:f>IF(COUNTA(A67:C67)=0,"",IF(AND(A67&lt;&gt;"",COUNT(B67:C67)=2),"Valid pair","Complete ID and numeric X/Y"))</x:f>
      </x:c>
      <x:c r="E67" s="83" t="str">
        <x:f>IF(D67="Valid pair",B67,"")</x:f>
      </x:c>
      <x:c r="F67" s="83" t="str">
        <x:f>IF(D67="Valid pair",C67,"")</x:f>
      </x:c>
      <x:c r="G67" s="46"/>
      <x:c r="H67" s="3"/>
      <x:c r="I67" s="3"/>
      <x:c r="J67" s="3"/>
      <x:c r="K67" s="3"/>
      <x:c r="L67" s="3"/>
      <x:c r="M67" s="3"/>
      <x:c r="N67" s="3"/>
      <x:c r="O67" s="3"/>
      <x:c r="P67" s="3"/>
      <x:c r="Q67" s="3"/>
      <x:c r="R67" s="3"/>
    </x:row>
    <x:row r="68" ht="34" customHeight="1">
      <x:c r="A68" s="46"/>
      <x:c r="B68" s="46"/>
      <x:c r="C68" s="46"/>
      <x:c r="D68" s="83" t="str">
        <x:f>IF(COUNTA(A68:C68)=0,"",IF(AND(A68&lt;&gt;"",COUNT(B68:C68)=2),"Valid pair","Complete ID and numeric X/Y"))</x:f>
      </x:c>
      <x:c r="E68" s="83" t="str">
        <x:f>IF(D68="Valid pair",B68,"")</x:f>
      </x:c>
      <x:c r="F68" s="83" t="str">
        <x:f>IF(D68="Valid pair",C68,"")</x:f>
      </x:c>
      <x:c r="G68" s="46"/>
      <x:c r="H68" s="3"/>
      <x:c r="I68" s="3"/>
      <x:c r="J68" s="3"/>
      <x:c r="K68" s="3"/>
      <x:c r="L68" s="3"/>
      <x:c r="M68" s="3"/>
      <x:c r="N68" s="3"/>
      <x:c r="O68" s="3"/>
      <x:c r="P68" s="3"/>
      <x:c r="Q68" s="3"/>
      <x:c r="R68" s="3"/>
    </x:row>
    <x:row r="69" ht="34" customHeight="1">
      <x:c r="A69" s="46"/>
      <x:c r="B69" s="46"/>
      <x:c r="C69" s="46"/>
      <x:c r="D69" s="83" t="str">
        <x:f>IF(COUNTA(A69:C69)=0,"",IF(AND(A69&lt;&gt;"",COUNT(B69:C69)=2),"Valid pair","Complete ID and numeric X/Y"))</x:f>
      </x:c>
      <x:c r="E69" s="83" t="str">
        <x:f>IF(D69="Valid pair",B69,"")</x:f>
      </x:c>
      <x:c r="F69" s="83" t="str">
        <x:f>IF(D69="Valid pair",C69,"")</x:f>
      </x:c>
      <x:c r="G69" s="46"/>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192" t="str">
        <x:v>BUILD THE X-Y SCATTER FROM THE VALID PAIRS</x:v>
      </x:c>
      <x:c r="B73" s="192"/>
      <x:c r="C73" s="192"/>
      <x:c r="D73" s="192"/>
      <x:c r="E73" s="192"/>
      <x:c r="F73" s="192"/>
      <x:c r="G73" s="192"/>
      <x:c r="H73" s="192"/>
      <x:c r="I73" s="192"/>
      <x:c r="J73" s="192"/>
      <x:c r="K73" s="192"/>
      <x:c r="L73" s="192"/>
      <x:c r="M73" s="3"/>
      <x:c r="N73" s="3"/>
      <x:c r="O73" s="3"/>
      <x:c r="P73" s="3"/>
      <x:c r="Q73" s="3"/>
      <x:c r="R73" s="3"/>
    </x:row>
    <x:row r="74" ht="20" customHeight="1">
      <x:c r="A74" s="192"/>
      <x:c r="B74" s="192"/>
      <x:c r="C74" s="192"/>
      <x:c r="D74" s="192"/>
      <x:c r="E74" s="192"/>
      <x:c r="F74" s="192"/>
      <x:c r="G74" s="192"/>
      <x:c r="H74" s="192"/>
      <x:c r="I74" s="192"/>
      <x:c r="J74" s="192"/>
      <x:c r="K74" s="192"/>
      <x:c r="L74" s="192"/>
      <x:c r="M74" s="3"/>
      <x:c r="N74" s="3"/>
      <x:c r="O74" s="3"/>
      <x:c r="P74" s="3"/>
      <x:c r="Q74" s="3"/>
      <x:c r="R74" s="3"/>
    </x:row>
    <x:row r="75" ht="20" customHeight="1">
      <x:c r="A75" s="192"/>
      <x:c r="B75" s="192"/>
      <x:c r="C75" s="192"/>
      <x:c r="D75" s="192"/>
      <x:c r="E75" s="192"/>
      <x:c r="F75" s="192"/>
      <x:c r="G75" s="192"/>
      <x:c r="H75" s="192"/>
      <x:c r="I75" s="192"/>
      <x:c r="J75" s="192"/>
      <x:c r="K75" s="192"/>
      <x:c r="L75" s="192"/>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5" customHeight="1">
      <x:c r="A77" s="72" t="str">
        <x:v>1. Complete the paired input records above and review the data-quality column.
2. Select the populated valid-X and valid-Y cells in columns E:F, including the row 9 headings. Use only the rows containing complete pairs.
3. In Excel, insert an X-Y scatter chart with markers only. Confirm X values use column E and Y values use column F.
4. Add variable names and units to both axes. Check outliers, non-linear form and groups before interpreting the Pearson coefficient.</x:v>
      </x:c>
      <x:c r="B77" s="72"/>
      <x:c r="C77" s="72"/>
      <x:c r="D77" s="72"/>
      <x:c r="E77" s="72"/>
      <x:c r="F77" s="72"/>
      <x:c r="G77" s="72"/>
      <x:c r="H77" s="72"/>
      <x:c r="I77" s="72"/>
      <x:c r="J77" s="72"/>
      <x:c r="K77" s="72"/>
      <x:c r="L77" s="72"/>
      <x:c r="M77" s="3"/>
      <x:c r="N77" s="3"/>
      <x:c r="O77" s="3"/>
      <x:c r="P77" s="3"/>
      <x:c r="Q77" s="3"/>
      <x:c r="R77" s="3"/>
    </x:row>
    <x:row r="78" ht="25" customHeight="1">
      <x:c r="A78" s="72"/>
      <x:c r="B78" s="72"/>
      <x:c r="C78" s="72"/>
      <x:c r="D78" s="72"/>
      <x:c r="E78" s="72"/>
      <x:c r="F78" s="72"/>
      <x:c r="G78" s="72"/>
      <x:c r="H78" s="72"/>
      <x:c r="I78" s="72"/>
      <x:c r="J78" s="72"/>
      <x:c r="K78" s="72"/>
      <x:c r="L78" s="72"/>
      <x:c r="M78" s="3"/>
      <x:c r="N78" s="3"/>
      <x:c r="O78" s="3"/>
      <x:c r="P78" s="3"/>
      <x:c r="Q78" s="3"/>
      <x:c r="R78" s="3"/>
    </x:row>
    <x:row r="79" ht="25" customHeight="1">
      <x:c r="A79" s="72"/>
      <x:c r="B79" s="72"/>
      <x:c r="C79" s="72"/>
      <x:c r="D79" s="72"/>
      <x:c r="E79" s="72"/>
      <x:c r="F79" s="72"/>
      <x:c r="G79" s="72"/>
      <x:c r="H79" s="72"/>
      <x:c r="I79" s="72"/>
      <x:c r="J79" s="72"/>
      <x:c r="K79" s="72"/>
      <x:c r="L79" s="72"/>
      <x:c r="M79" s="3"/>
      <x:c r="N79" s="3"/>
      <x:c r="O79" s="3"/>
      <x:c r="P79" s="3"/>
      <x:c r="Q79" s="3"/>
      <x:c r="R79" s="3"/>
    </x:row>
    <x:row r="80" ht="25" customHeight="1">
      <x:c r="A80" s="72"/>
      <x:c r="B80" s="72"/>
      <x:c r="C80" s="72"/>
      <x:c r="D80" s="72"/>
      <x:c r="E80" s="72"/>
      <x:c r="F80" s="72"/>
      <x:c r="G80" s="72"/>
      <x:c r="H80" s="72"/>
      <x:c r="I80" s="72"/>
      <x:c r="J80" s="72"/>
      <x:c r="K80" s="72"/>
      <x:c r="L80" s="72"/>
      <x:c r="M80" s="3"/>
      <x:c r="N80" s="3"/>
      <x:c r="O80" s="3"/>
      <x:c r="P80" s="3"/>
      <x:c r="Q80" s="3"/>
      <x:c r="R80" s="3"/>
    </x:row>
    <x:row r="81" ht="25" customHeight="1">
      <x:c r="A81" s="72"/>
      <x:c r="B81" s="72"/>
      <x:c r="C81" s="72"/>
      <x:c r="D81" s="72"/>
      <x:c r="E81" s="72"/>
      <x:c r="F81" s="72"/>
      <x:c r="G81" s="72"/>
      <x:c r="H81" s="72"/>
      <x:c r="I81" s="72"/>
      <x:c r="J81" s="72"/>
      <x:c r="K81" s="72"/>
      <x:c r="L81" s="72"/>
      <x:c r="M81" s="3"/>
      <x:c r="N81" s="3"/>
      <x:c r="O81" s="3"/>
      <x:c r="P81" s="3"/>
      <x:c r="Q81" s="3"/>
      <x:c r="R81" s="3"/>
    </x:row>
    <x:row r="82" ht="25" customHeight="1">
      <x:c r="A82" s="72"/>
      <x:c r="B82" s="72"/>
      <x:c r="C82" s="72"/>
      <x:c r="D82" s="72"/>
      <x:c r="E82" s="72"/>
      <x:c r="F82" s="72"/>
      <x:c r="G82" s="72"/>
      <x:c r="H82" s="72"/>
      <x:c r="I82" s="72"/>
      <x:c r="J82" s="72"/>
      <x:c r="K82" s="72"/>
      <x:c r="L82" s="72"/>
      <x:c r="M82" s="3"/>
      <x:c r="N82" s="3"/>
      <x:c r="O82" s="3"/>
      <x:c r="P82" s="3"/>
      <x:c r="Q82" s="3"/>
      <x:c r="R82" s="3"/>
    </x:row>
    <x:row r="83" ht="25" customHeight="1">
      <x:c r="A83" s="72"/>
      <x:c r="B83" s="72"/>
      <x:c r="C83" s="72"/>
      <x:c r="D83" s="72"/>
      <x:c r="E83" s="72"/>
      <x:c r="F83" s="72"/>
      <x:c r="G83" s="72"/>
      <x:c r="H83" s="72"/>
      <x:c r="I83" s="72"/>
      <x:c r="J83" s="72"/>
      <x:c r="K83" s="72"/>
      <x:c r="L83" s="72"/>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4" customHeight="1">
      <x:c r="A85" s="144" t="str">
        <x:v>S08 supplies the live numeric-pair table, data checks and Pearson correlation. A dynamic X-Y chart is not prebuilt in this workbook. The manual supplies a labelled synthetic scatter example. Do not substitute a category line chart: equal category spacing does not represent numeric X distances.</x:v>
      </x:c>
      <x:c r="B85" s="144"/>
      <x:c r="C85" s="144"/>
      <x:c r="D85" s="144"/>
      <x:c r="E85" s="144"/>
      <x:c r="F85" s="144"/>
      <x:c r="G85" s="144"/>
      <x:c r="H85" s="144"/>
      <x:c r="I85" s="144"/>
      <x:c r="J85" s="144"/>
      <x:c r="K85" s="144"/>
      <x:c r="L85" s="144"/>
      <x:c r="M85" s="3"/>
      <x:c r="N85" s="3"/>
      <x:c r="O85" s="3"/>
      <x:c r="P85" s="3"/>
      <x:c r="Q85" s="3"/>
      <x:c r="R85" s="3"/>
    </x:row>
    <x:row r="86" ht="24" customHeight="1">
      <x:c r="A86" s="144"/>
      <x:c r="B86" s="144"/>
      <x:c r="C86" s="144"/>
      <x:c r="D86" s="144"/>
      <x:c r="E86" s="144"/>
      <x:c r="F86" s="144"/>
      <x:c r="G86" s="144"/>
      <x:c r="H86" s="144"/>
      <x:c r="I86" s="144"/>
      <x:c r="J86" s="144"/>
      <x:c r="K86" s="144"/>
      <x:c r="L86" s="144"/>
      <x:c r="M86" s="3"/>
      <x:c r="N86" s="3"/>
      <x:c r="O86" s="3"/>
      <x:c r="P86" s="3"/>
      <x:c r="Q86" s="3"/>
      <x:c r="R86" s="3"/>
    </x:row>
    <x:row r="87" ht="24" customHeight="1">
      <x:c r="A87" s="144"/>
      <x:c r="B87" s="144"/>
      <x:c r="C87" s="144"/>
      <x:c r="D87" s="144"/>
      <x:c r="E87" s="144"/>
      <x:c r="F87" s="144"/>
      <x:c r="G87" s="144"/>
      <x:c r="H87" s="144"/>
      <x:c r="I87" s="144"/>
      <x:c r="J87" s="144"/>
      <x:c r="K87" s="144"/>
      <x:c r="L87" s="144"/>
      <x:c r="M87" s="3"/>
      <x:c r="N87" s="3"/>
      <x:c r="O87" s="3"/>
      <x:c r="P87" s="3"/>
      <x:c r="Q87" s="3"/>
      <x:c r="R87" s="3"/>
    </x:row>
    <x:row r="88" ht="24" customHeight="1">
      <x:c r="A88" s="144"/>
      <x:c r="B88" s="144"/>
      <x:c r="C88" s="144"/>
      <x:c r="D88" s="144"/>
      <x:c r="E88" s="144"/>
      <x:c r="F88" s="144"/>
      <x:c r="G88" s="144"/>
      <x:c r="H88" s="144"/>
      <x:c r="I88" s="144"/>
      <x:c r="J88" s="144"/>
      <x:c r="K88" s="144"/>
      <x:c r="L88" s="144"/>
      <x:c r="M88" s="3"/>
      <x:c r="N88" s="3"/>
      <x:c r="O88" s="3"/>
      <x:c r="P88" s="3"/>
      <x:c r="Q88" s="3"/>
      <x:c r="R88" s="3"/>
    </x:row>
    <x:row r="89" ht="24" customHeight="1">
      <x:c r="A89" s="144"/>
      <x:c r="B89" s="144"/>
      <x:c r="C89" s="144"/>
      <x:c r="D89" s="144"/>
      <x:c r="E89" s="144"/>
      <x:c r="F89" s="144"/>
      <x:c r="G89" s="144"/>
      <x:c r="H89" s="144"/>
      <x:c r="I89" s="144"/>
      <x:c r="J89" s="144"/>
      <x:c r="K89" s="144"/>
      <x:c r="L89" s="144"/>
      <x:c r="M89" s="3"/>
      <x:c r="N89" s="3"/>
      <x:c r="O89" s="3"/>
      <x:c r="P89" s="3"/>
      <x:c r="Q89" s="3"/>
      <x:c r="R89" s="3"/>
    </x:row>
    <x:row r="90" ht="24" customHeight="1">
      <x:c r="A90" s="144"/>
      <x:c r="B90" s="144"/>
      <x:c r="C90" s="144"/>
      <x:c r="D90" s="144"/>
      <x:c r="E90" s="144"/>
      <x:c r="F90" s="144"/>
      <x:c r="G90" s="144"/>
      <x:c r="H90" s="144"/>
      <x:c r="I90" s="144"/>
      <x:c r="J90" s="144"/>
      <x:c r="K90" s="144"/>
      <x:c r="L90" s="144"/>
      <x:c r="M90" s="3"/>
      <x:c r="N90" s="3"/>
      <x:c r="O90" s="3"/>
      <x:c r="P90" s="3"/>
      <x:c r="Q90" s="3"/>
      <x:c r="R90" s="3"/>
    </x:row>
    <x:row r="91" ht="24" customHeight="1">
      <x:c r="A91" s="144"/>
      <x:c r="B91" s="144"/>
      <x:c r="C91" s="144"/>
      <x:c r="D91" s="144"/>
      <x:c r="E91" s="144"/>
      <x:c r="F91" s="144"/>
      <x:c r="G91" s="144"/>
      <x:c r="H91" s="144"/>
      <x:c r="I91" s="144"/>
      <x:c r="J91" s="144"/>
      <x:c r="K91" s="144"/>
      <x:c r="L91" s="144"/>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S08</x:v>
      </x:c>
      <x:c r="B110" s="34"/>
      <x:c r="C110" s="34"/>
      <x:c r="D110" s="34"/>
      <x:c r="E110" s="34"/>
      <x:c r="F110" s="34"/>
      <x:c r="G110" s="34"/>
      <x:c r="H110" s="34"/>
      <x:c r="I110" s="34"/>
      <x:c r="J110" s="34"/>
      <x:c r="K110" s="34"/>
      <x:c r="L110" s="34"/>
      <x:c r="M110" s="3"/>
      <x:c r="N110" s="3"/>
      <x:c r="O110" s="3"/>
      <x:c r="P110" s="3"/>
      <x:c r="Q110" s="3"/>
      <x:c r="R110" s="3"/>
    </x:row>
    <x:row r="111" ht="20" customHeight="1">
      <x:c r="A111" s="40" t="str">
        <x:v>01  Question and mechanism</x:v>
      </x:c>
      <x:c r="B111" s="40"/>
      <x:c r="C111" s="40"/>
      <x:c r="D111" s="17" t="str">
        <x:v>State the proposed relationship.</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Variables and pairing</x:v>
      </x:c>
      <x:c r="B117" s="40"/>
      <x:c r="C117" s="40"/>
      <x:c r="D117" s="17" t="str">
        <x:v>Define X, Y and the matched unit.</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Data checks</x:v>
      </x:c>
      <x:c r="B123" s="40"/>
      <x:c r="C123" s="40"/>
      <x:c r="D123" s="17" t="str">
        <x:v>Record missingness, range and outliers.</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Plot and association</x:v>
      </x:c>
      <x:c r="B129" s="40"/>
      <x:c r="C129" s="40"/>
      <x:c r="D129" s="17" t="str">
        <x:v>Describe the visual pattern before a coefficient.</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Alternative explanations</x:v>
      </x:c>
      <x:c r="B135" s="40"/>
      <x:c r="C135" s="40"/>
      <x:c r="D135" s="17" t="str">
        <x:v>List confounders and design limitations.</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Next test or analysis</x:v>
      </x:c>
      <x:c r="B141" s="40"/>
      <x:c r="C141" s="40"/>
      <x:c r="D141" s="17" t="str">
        <x:v>State the practical learning step.</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The workbook calculates Pearson correlation only for complete numeric pairs with non-zero variation. It is exploratory, not a significance or causal model. Ordinal ratings, curved relationships, repeated observations and dependent time series may need another method.</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M08, P13, S12  |  METHOD SOURCES: U04, R39</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 ref="A73:L75"/>
    <x:mergeCell ref="A77:L83"/>
    <x:mergeCell ref="A85:L91"/>
  </x:mergeCells>
  <x:pageMargins left="0.7" right="0.7" top="0.75" bottom="0.75" header="0.3" footer="0.3"/>
</x:worksheet>
</file>

<file path=xl/worksheets/sheet37.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30" hidden="0" customWidth="1"/>
    <x:col min="2" max="2" width="16" hidden="0" customWidth="1"/>
    <x:col min="3" max="3" width="17" hidden="0" customWidth="1"/>
    <x:col min="4" max="4" width="17" hidden="0" customWidth="1"/>
    <x:col min="5" max="5" width="27" hidden="0" customWidth="1"/>
    <x:col min="6" max="6" width="45" hidden="0" customWidth="1"/>
    <x:col min="7" max="7" width="45"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S09  Stratification and equitable-access review</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Check who benefits, who waits and who may be hidden by the average.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Group / condition</x:v>
      </x:c>
      <x:c r="B9" s="77" t="str">
        <x:v>Eligible n</x:v>
      </x:c>
      <x:c r="C9" s="77" t="str">
        <x:v>Outcome count</x:v>
      </x:c>
      <x:c r="D9" s="77" t="str">
        <x:v>Proportion</x:v>
      </x:c>
      <x:c r="E9" s="77" t="str">
        <x:v>Check</x:v>
      </x:c>
      <x:c r="F9" s="77" t="str">
        <x:v>Context / missingness</x:v>
      </x:c>
      <x:c r="G9" s="77" t="str">
        <x:v>Action / owner</x:v>
      </x:c>
      <x:c r="H9" s="3"/>
      <x:c r="I9" s="3"/>
      <x:c r="J9" s="3"/>
      <x:c r="K9" s="3"/>
      <x:c r="L9" s="3"/>
      <x:c r="M9" s="3"/>
      <x:c r="N9" s="3"/>
      <x:c r="O9" s="3"/>
      <x:c r="P9" s="3"/>
      <x:c r="Q9" s="3"/>
      <x:c r="R9" s="3"/>
    </x:row>
    <x:row r="10" ht="34" customHeight="1">
      <x:c r="A10" s="46"/>
      <x:c r="B10" s="46"/>
      <x:c r="C10" s="46"/>
      <x:c r="D10" s="90" t="str">
        <x:f>IF(E10="Review disclosure and comparability",C10/B10,"")</x:f>
      </x:c>
      <x:c r="E10" s="83" t="str">
        <x:f>IF(A10="","",IF(COUNT(B10:C10)&lt;2,"Complete counts",IF(OR(B10&lt;=0,C10&lt;0,C10&gt;B10,MOD(B10,1)&lt;&gt;0,MOD(C10,1)&lt;&gt;0),"Invalid counts","Review disclosure and comparability")))</x:f>
      </x:c>
      <x:c r="F10" s="46"/>
      <x:c r="G10" s="46"/>
      <x:c r="H10" s="3"/>
      <x:c r="I10" s="3"/>
      <x:c r="J10" s="3"/>
      <x:c r="K10" s="3"/>
      <x:c r="L10" s="3"/>
      <x:c r="M10" s="3"/>
      <x:c r="N10" s="3"/>
      <x:c r="O10" s="3"/>
      <x:c r="P10" s="3"/>
      <x:c r="Q10" s="3"/>
      <x:c r="R10" s="3"/>
    </x:row>
    <x:row r="11" ht="34" customHeight="1">
      <x:c r="A11" s="46"/>
      <x:c r="B11" s="46"/>
      <x:c r="C11" s="46"/>
      <x:c r="D11" s="90" t="str">
        <x:f>IF(E11="Review disclosure and comparability",C11/B11,"")</x:f>
      </x:c>
      <x:c r="E11" s="83" t="str">
        <x:f>IF(A11="","",IF(COUNT(B11:C11)&lt;2,"Complete counts",IF(OR(B11&lt;=0,C11&lt;0,C11&gt;B11,MOD(B11,1)&lt;&gt;0,MOD(C11,1)&lt;&gt;0),"Invalid counts","Review disclosure and comparability")))</x:f>
      </x:c>
      <x:c r="F11" s="46"/>
      <x:c r="G11" s="46"/>
      <x:c r="H11" s="3"/>
      <x:c r="I11" s="3"/>
      <x:c r="J11" s="3"/>
      <x:c r="K11" s="3"/>
      <x:c r="L11" s="3"/>
      <x:c r="M11" s="3"/>
      <x:c r="N11" s="3"/>
      <x:c r="O11" s="3"/>
      <x:c r="P11" s="3"/>
      <x:c r="Q11" s="3"/>
      <x:c r="R11" s="3"/>
    </x:row>
    <x:row r="12" ht="34" customHeight="1">
      <x:c r="A12" s="46"/>
      <x:c r="B12" s="46"/>
      <x:c r="C12" s="46"/>
      <x:c r="D12" s="90" t="str">
        <x:f>IF(E12="Review disclosure and comparability",C12/B12,"")</x:f>
      </x:c>
      <x:c r="E12" s="83" t="str">
        <x:f>IF(A12="","",IF(COUNT(B12:C12)&lt;2,"Complete counts",IF(OR(B12&lt;=0,C12&lt;0,C12&gt;B12,MOD(B12,1)&lt;&gt;0,MOD(C12,1)&lt;&gt;0),"Invalid counts","Review disclosure and comparability")))</x:f>
      </x:c>
      <x:c r="F12" s="46"/>
      <x:c r="G12" s="46"/>
      <x:c r="H12" s="3"/>
      <x:c r="I12" s="3"/>
      <x:c r="J12" s="3"/>
      <x:c r="K12" s="3"/>
      <x:c r="L12" s="3"/>
      <x:c r="M12" s="3"/>
      <x:c r="N12" s="3"/>
      <x:c r="O12" s="3"/>
      <x:c r="P12" s="3"/>
      <x:c r="Q12" s="3"/>
      <x:c r="R12" s="3"/>
    </x:row>
    <x:row r="13" ht="34" customHeight="1">
      <x:c r="A13" s="46"/>
      <x:c r="B13" s="46"/>
      <x:c r="C13" s="46"/>
      <x:c r="D13" s="90" t="str">
        <x:f>IF(E13="Review disclosure and comparability",C13/B13,"")</x:f>
      </x:c>
      <x:c r="E13" s="83" t="str">
        <x:f>IF(A13="","",IF(COUNT(B13:C13)&lt;2,"Complete counts",IF(OR(B13&lt;=0,C13&lt;0,C13&gt;B13,MOD(B13,1)&lt;&gt;0,MOD(C13,1)&lt;&gt;0),"Invalid counts","Review disclosure and comparability")))</x:f>
      </x:c>
      <x:c r="F13" s="46"/>
      <x:c r="G13" s="46"/>
      <x:c r="H13" s="3"/>
      <x:c r="I13" s="3"/>
      <x:c r="J13" s="3"/>
      <x:c r="K13" s="3"/>
      <x:c r="L13" s="3"/>
      <x:c r="M13" s="3"/>
      <x:c r="N13" s="3"/>
      <x:c r="O13" s="3"/>
      <x:c r="P13" s="3"/>
      <x:c r="Q13" s="3"/>
      <x:c r="R13" s="3"/>
    </x:row>
    <x:row r="14" ht="34" customHeight="1">
      <x:c r="A14" s="46"/>
      <x:c r="B14" s="46"/>
      <x:c r="C14" s="46"/>
      <x:c r="D14" s="90" t="str">
        <x:f>IF(E14="Review disclosure and comparability",C14/B14,"")</x:f>
      </x:c>
      <x:c r="E14" s="83" t="str">
        <x:f>IF(A14="","",IF(COUNT(B14:C14)&lt;2,"Complete counts",IF(OR(B14&lt;=0,C14&lt;0,C14&gt;B14,MOD(B14,1)&lt;&gt;0,MOD(C14,1)&lt;&gt;0),"Invalid counts","Review disclosure and comparability")))</x:f>
      </x:c>
      <x:c r="F14" s="46"/>
      <x:c r="G14" s="46"/>
      <x:c r="H14" s="3"/>
      <x:c r="I14" s="3"/>
      <x:c r="J14" s="3"/>
      <x:c r="K14" s="3"/>
      <x:c r="L14" s="3"/>
      <x:c r="M14" s="3"/>
      <x:c r="N14" s="3"/>
      <x:c r="O14" s="3"/>
      <x:c r="P14" s="3"/>
      <x:c r="Q14" s="3"/>
      <x:c r="R14" s="3"/>
    </x:row>
    <x:row r="15" ht="34" customHeight="1">
      <x:c r="A15" s="46"/>
      <x:c r="B15" s="46"/>
      <x:c r="C15" s="46"/>
      <x:c r="D15" s="90" t="str">
        <x:f>IF(E15="Review disclosure and comparability",C15/B15,"")</x:f>
      </x:c>
      <x:c r="E15" s="83" t="str">
        <x:f>IF(A15="","",IF(COUNT(B15:C15)&lt;2,"Complete counts",IF(OR(B15&lt;=0,C15&lt;0,C15&gt;B15,MOD(B15,1)&lt;&gt;0,MOD(C15,1)&lt;&gt;0),"Invalid counts","Review disclosure and comparability")))</x:f>
      </x:c>
      <x:c r="F15" s="46"/>
      <x:c r="G15" s="46"/>
      <x:c r="H15" s="3"/>
      <x:c r="I15" s="3"/>
      <x:c r="J15" s="3"/>
      <x:c r="K15" s="3"/>
      <x:c r="L15" s="3"/>
      <x:c r="M15" s="3"/>
      <x:c r="N15" s="3"/>
      <x:c r="O15" s="3"/>
      <x:c r="P15" s="3"/>
      <x:c r="Q15" s="3"/>
      <x:c r="R15" s="3"/>
    </x:row>
    <x:row r="16" ht="34" customHeight="1">
      <x:c r="A16" s="46"/>
      <x:c r="B16" s="46"/>
      <x:c r="C16" s="46"/>
      <x:c r="D16" s="90" t="str">
        <x:f>IF(E16="Review disclosure and comparability",C16/B16,"")</x:f>
      </x:c>
      <x:c r="E16" s="83" t="str">
        <x:f>IF(A16="","",IF(COUNT(B16:C16)&lt;2,"Complete counts",IF(OR(B16&lt;=0,C16&lt;0,C16&gt;B16,MOD(B16,1)&lt;&gt;0,MOD(C16,1)&lt;&gt;0),"Invalid counts","Review disclosure and comparability")))</x:f>
      </x:c>
      <x:c r="F16" s="46"/>
      <x:c r="G16" s="46"/>
      <x:c r="H16" s="3"/>
      <x:c r="I16" s="3"/>
      <x:c r="J16" s="3"/>
      <x:c r="K16" s="3"/>
      <x:c r="L16" s="3"/>
      <x:c r="M16" s="3"/>
      <x:c r="N16" s="3"/>
      <x:c r="O16" s="3"/>
      <x:c r="P16" s="3"/>
      <x:c r="Q16" s="3"/>
      <x:c r="R16" s="3"/>
    </x:row>
    <x:row r="17" ht="34" customHeight="1">
      <x:c r="A17" s="46"/>
      <x:c r="B17" s="46"/>
      <x:c r="C17" s="46"/>
      <x:c r="D17" s="90" t="str">
        <x:f>IF(E17="Review disclosure and comparability",C17/B17,"")</x:f>
      </x:c>
      <x:c r="E17" s="83" t="str">
        <x:f>IF(A17="","",IF(COUNT(B17:C17)&lt;2,"Complete counts",IF(OR(B17&lt;=0,C17&lt;0,C17&gt;B17,MOD(B17,1)&lt;&gt;0,MOD(C17,1)&lt;&gt;0),"Invalid counts","Review disclosure and comparability")))</x:f>
      </x:c>
      <x:c r="F17" s="46"/>
      <x:c r="G17" s="46"/>
      <x:c r="H17" s="3"/>
      <x:c r="I17" s="3"/>
      <x:c r="J17" s="3"/>
      <x:c r="K17" s="3"/>
      <x:c r="L17" s="3"/>
      <x:c r="M17" s="3"/>
      <x:c r="N17" s="3"/>
      <x:c r="O17" s="3"/>
      <x:c r="P17" s="3"/>
      <x:c r="Q17" s="3"/>
      <x:c r="R17" s="3"/>
    </x:row>
    <x:row r="18" ht="34" customHeight="1">
      <x:c r="A18" s="46"/>
      <x:c r="B18" s="46"/>
      <x:c r="C18" s="46"/>
      <x:c r="D18" s="90" t="str">
        <x:f>IF(E18="Review disclosure and comparability",C18/B18,"")</x:f>
      </x:c>
      <x:c r="E18" s="83" t="str">
        <x:f>IF(A18="","",IF(COUNT(B18:C18)&lt;2,"Complete counts",IF(OR(B18&lt;=0,C18&lt;0,C18&gt;B18,MOD(B18,1)&lt;&gt;0,MOD(C18,1)&lt;&gt;0),"Invalid counts","Review disclosure and comparability")))</x:f>
      </x:c>
      <x:c r="F18" s="46"/>
      <x:c r="G18" s="46"/>
      <x:c r="H18" s="3"/>
      <x:c r="I18" s="3"/>
      <x:c r="J18" s="3"/>
      <x:c r="K18" s="3"/>
      <x:c r="L18" s="3"/>
      <x:c r="M18" s="3"/>
      <x:c r="N18" s="3"/>
      <x:c r="O18" s="3"/>
      <x:c r="P18" s="3"/>
      <x:c r="Q18" s="3"/>
      <x:c r="R18" s="3"/>
    </x:row>
    <x:row r="19" ht="34" customHeight="1">
      <x:c r="A19" s="46"/>
      <x:c r="B19" s="46"/>
      <x:c r="C19" s="46"/>
      <x:c r="D19" s="90" t="str">
        <x:f>IF(E19="Review disclosure and comparability",C19/B19,"")</x:f>
      </x:c>
      <x:c r="E19" s="83" t="str">
        <x:f>IF(A19="","",IF(COUNT(B19:C19)&lt;2,"Complete counts",IF(OR(B19&lt;=0,C19&lt;0,C19&gt;B19,MOD(B19,1)&lt;&gt;0,MOD(C19,1)&lt;&gt;0),"Invalid counts","Review disclosure and comparability")))</x:f>
      </x:c>
      <x:c r="F19" s="46"/>
      <x:c r="G19" s="46"/>
      <x:c r="H19" s="3"/>
      <x:c r="I19" s="3"/>
      <x:c r="J19" s="3"/>
      <x:c r="K19" s="3"/>
      <x:c r="L19" s="3"/>
      <x:c r="M19" s="3"/>
      <x:c r="N19" s="3"/>
      <x:c r="O19" s="3"/>
      <x:c r="P19" s="3"/>
      <x:c r="Q19" s="3"/>
      <x:c r="R19" s="3"/>
    </x:row>
    <x:row r="20" ht="34" customHeight="1">
      <x:c r="A20" s="46"/>
      <x:c r="B20" s="46"/>
      <x:c r="C20" s="46"/>
      <x:c r="D20" s="90" t="str">
        <x:f>IF(E20="Review disclosure and comparability",C20/B20,"")</x:f>
      </x:c>
      <x:c r="E20" s="83" t="str">
        <x:f>IF(A20="","",IF(COUNT(B20:C20)&lt;2,"Complete counts",IF(OR(B20&lt;=0,C20&lt;0,C20&gt;B20,MOD(B20,1)&lt;&gt;0,MOD(C20,1)&lt;&gt;0),"Invalid counts","Review disclosure and comparability")))</x:f>
      </x:c>
      <x:c r="F20" s="46"/>
      <x:c r="G20" s="46"/>
      <x:c r="H20" s="3"/>
      <x:c r="I20" s="3"/>
      <x:c r="J20" s="3"/>
      <x:c r="K20" s="3"/>
      <x:c r="L20" s="3"/>
      <x:c r="M20" s="3"/>
      <x:c r="N20" s="3"/>
      <x:c r="O20" s="3"/>
      <x:c r="P20" s="3"/>
      <x:c r="Q20" s="3"/>
      <x:c r="R20" s="3"/>
    </x:row>
    <x:row r="21" ht="34" customHeight="1">
      <x:c r="A21" s="46"/>
      <x:c r="B21" s="46"/>
      <x:c r="C21" s="46"/>
      <x:c r="D21" s="90" t="str">
        <x:f>IF(E21="Review disclosure and comparability",C21/B21,"")</x:f>
      </x:c>
      <x:c r="E21" s="83" t="str">
        <x:f>IF(A21="","",IF(COUNT(B21:C21)&lt;2,"Complete counts",IF(OR(B21&lt;=0,C21&lt;0,C21&gt;B21,MOD(B21,1)&lt;&gt;0,MOD(C21,1)&lt;&gt;0),"Invalid counts","Review disclosure and comparability")))</x:f>
      </x:c>
      <x:c r="F21" s="46"/>
      <x:c r="G21" s="46"/>
      <x:c r="H21" s="3"/>
      <x:c r="I21" s="3"/>
      <x:c r="J21" s="3"/>
      <x:c r="K21" s="3"/>
      <x:c r="L21" s="3"/>
      <x:c r="M21" s="3"/>
      <x:c r="N21" s="3"/>
      <x:c r="O21" s="3"/>
      <x:c r="P21" s="3"/>
      <x:c r="Q21" s="3"/>
      <x:c r="R21" s="3"/>
    </x:row>
    <x:row r="22" ht="34" customHeight="1">
      <x:c r="A22" s="46"/>
      <x:c r="B22" s="46"/>
      <x:c r="C22" s="46"/>
      <x:c r="D22" s="90" t="str">
        <x:f>IF(E22="Review disclosure and comparability",C22/B22,"")</x:f>
      </x:c>
      <x:c r="E22" s="83" t="str">
        <x:f>IF(A22="","",IF(COUNT(B22:C22)&lt;2,"Complete counts",IF(OR(B22&lt;=0,C22&lt;0,C22&gt;B22,MOD(B22,1)&lt;&gt;0,MOD(C22,1)&lt;&gt;0),"Invalid counts","Review disclosure and comparability")))</x:f>
      </x:c>
      <x:c r="F22" s="46"/>
      <x:c r="G22" s="46"/>
      <x:c r="H22" s="3"/>
      <x:c r="I22" s="3"/>
      <x:c r="J22" s="3"/>
      <x:c r="K22" s="3"/>
      <x:c r="L22" s="3"/>
      <x:c r="M22" s="3"/>
      <x:c r="N22" s="3"/>
      <x:c r="O22" s="3"/>
      <x:c r="P22" s="3"/>
      <x:c r="Q22" s="3"/>
      <x:c r="R22" s="3"/>
    </x:row>
    <x:row r="23" ht="34" customHeight="1">
      <x:c r="A23" s="46"/>
      <x:c r="B23" s="46"/>
      <x:c r="C23" s="46"/>
      <x:c r="D23" s="90" t="str">
        <x:f>IF(E23="Review disclosure and comparability",C23/B23,"")</x:f>
      </x:c>
      <x:c r="E23" s="83" t="str">
        <x:f>IF(A23="","",IF(COUNT(B23:C23)&lt;2,"Complete counts",IF(OR(B23&lt;=0,C23&lt;0,C23&gt;B23,MOD(B23,1)&lt;&gt;0,MOD(C23,1)&lt;&gt;0),"Invalid counts","Review disclosure and comparability")))</x:f>
      </x:c>
      <x:c r="F23" s="46"/>
      <x:c r="G23" s="46"/>
      <x:c r="H23" s="3"/>
      <x:c r="I23" s="3"/>
      <x:c r="J23" s="3"/>
      <x:c r="K23" s="3"/>
      <x:c r="L23" s="3"/>
      <x:c r="M23" s="3"/>
      <x:c r="N23" s="3"/>
      <x:c r="O23" s="3"/>
      <x:c r="P23" s="3"/>
      <x:c r="Q23" s="3"/>
      <x:c r="R23" s="3"/>
    </x:row>
    <x:row r="24" ht="34" customHeight="1">
      <x:c r="A24" s="46"/>
      <x:c r="B24" s="46"/>
      <x:c r="C24" s="46"/>
      <x:c r="D24" s="90" t="str">
        <x:f>IF(E24="Review disclosure and comparability",C24/B24,"")</x:f>
      </x:c>
      <x:c r="E24" s="83" t="str">
        <x:f>IF(A24="","",IF(COUNT(B24:C24)&lt;2,"Complete counts",IF(OR(B24&lt;=0,C24&lt;0,C24&gt;B24,MOD(B24,1)&lt;&gt;0,MOD(C24,1)&lt;&gt;0),"Invalid counts","Review disclosure and comparability")))</x:f>
      </x:c>
      <x:c r="F24" s="46"/>
      <x:c r="G24" s="46"/>
      <x:c r="H24" s="3"/>
      <x:c r="I24" s="3"/>
      <x:c r="J24" s="3"/>
      <x:c r="K24" s="3"/>
      <x:c r="L24" s="3"/>
      <x:c r="M24" s="3"/>
      <x:c r="N24" s="3"/>
      <x:c r="O24" s="3"/>
      <x:c r="P24" s="3"/>
      <x:c r="Q24" s="3"/>
      <x:c r="R24" s="3"/>
    </x:row>
    <x:row r="25" ht="34" customHeight="1">
      <x:c r="A25" s="46"/>
      <x:c r="B25" s="46"/>
      <x:c r="C25" s="46"/>
      <x:c r="D25" s="90" t="str">
        <x:f>IF(E25="Review disclosure and comparability",C25/B25,"")</x:f>
      </x:c>
      <x:c r="E25" s="83" t="str">
        <x:f>IF(A25="","",IF(COUNT(B25:C25)&lt;2,"Complete counts",IF(OR(B25&lt;=0,C25&lt;0,C25&gt;B25,MOD(B25,1)&lt;&gt;0,MOD(C25,1)&lt;&gt;0),"Invalid counts","Review disclosure and comparability")))</x:f>
      </x:c>
      <x:c r="F25" s="46"/>
      <x:c r="G25" s="46"/>
      <x:c r="H25" s="3"/>
      <x:c r="I25" s="3"/>
      <x:c r="J25" s="3"/>
      <x:c r="K25" s="3"/>
      <x:c r="L25" s="3"/>
      <x:c r="M25" s="3"/>
      <x:c r="N25" s="3"/>
      <x:c r="O25" s="3"/>
      <x:c r="P25" s="3"/>
      <x:c r="Q25" s="3"/>
      <x:c r="R25" s="3"/>
    </x:row>
    <x:row r="26" ht="34" customHeight="1">
      <x:c r="A26" s="46"/>
      <x:c r="B26" s="46"/>
      <x:c r="C26" s="46"/>
      <x:c r="D26" s="90" t="str">
        <x:f>IF(E26="Review disclosure and comparability",C26/B26,"")</x:f>
      </x:c>
      <x:c r="E26" s="83" t="str">
        <x:f>IF(A26="","",IF(COUNT(B26:C26)&lt;2,"Complete counts",IF(OR(B26&lt;=0,C26&lt;0,C26&gt;B26,MOD(B26,1)&lt;&gt;0,MOD(C26,1)&lt;&gt;0),"Invalid counts","Review disclosure and comparability")))</x:f>
      </x:c>
      <x:c r="F26" s="46"/>
      <x:c r="G26" s="46"/>
      <x:c r="H26" s="3"/>
      <x:c r="I26" s="3"/>
      <x:c r="J26" s="3"/>
      <x:c r="K26" s="3"/>
      <x:c r="L26" s="3"/>
      <x:c r="M26" s="3"/>
      <x:c r="N26" s="3"/>
      <x:c r="O26" s="3"/>
      <x:c r="P26" s="3"/>
      <x:c r="Q26" s="3"/>
      <x:c r="R26" s="3"/>
    </x:row>
    <x:row r="27" ht="34" customHeight="1">
      <x:c r="A27" s="46"/>
      <x:c r="B27" s="46"/>
      <x:c r="C27" s="46"/>
      <x:c r="D27" s="90" t="str">
        <x:f>IF(E27="Review disclosure and comparability",C27/B27,"")</x:f>
      </x:c>
      <x:c r="E27" s="83" t="str">
        <x:f>IF(A27="","",IF(COUNT(B27:C27)&lt;2,"Complete counts",IF(OR(B27&lt;=0,C27&lt;0,C27&gt;B27,MOD(B27,1)&lt;&gt;0,MOD(C27,1)&lt;&gt;0),"Invalid counts","Review disclosure and comparability")))</x:f>
      </x:c>
      <x:c r="F27" s="46"/>
      <x:c r="G27" s="46"/>
      <x:c r="H27" s="3"/>
      <x:c r="I27" s="3"/>
      <x:c r="J27" s="3"/>
      <x:c r="K27" s="3"/>
      <x:c r="L27" s="3"/>
      <x:c r="M27" s="3"/>
      <x:c r="N27" s="3"/>
      <x:c r="O27" s="3"/>
      <x:c r="P27" s="3"/>
      <x:c r="Q27" s="3"/>
      <x:c r="R27" s="3"/>
    </x:row>
    <x:row r="28" ht="34" customHeight="1">
      <x:c r="A28" s="46"/>
      <x:c r="B28" s="46"/>
      <x:c r="C28" s="46"/>
      <x:c r="D28" s="90" t="str">
        <x:f>IF(E28="Review disclosure and comparability",C28/B28,"")</x:f>
      </x:c>
      <x:c r="E28" s="83" t="str">
        <x:f>IF(A28="","",IF(COUNT(B28:C28)&lt;2,"Complete counts",IF(OR(B28&lt;=0,C28&lt;0,C28&gt;B28,MOD(B28,1)&lt;&gt;0,MOD(C28,1)&lt;&gt;0),"Invalid counts","Review disclosure and comparability")))</x:f>
      </x:c>
      <x:c r="F28" s="46"/>
      <x:c r="G28" s="46"/>
      <x:c r="H28" s="3"/>
      <x:c r="I28" s="3"/>
      <x:c r="J28" s="3"/>
      <x:c r="K28" s="3"/>
      <x:c r="L28" s="3"/>
      <x:c r="M28" s="3"/>
      <x:c r="N28" s="3"/>
      <x:c r="O28" s="3"/>
      <x:c r="P28" s="3"/>
      <x:c r="Q28" s="3"/>
      <x:c r="R28" s="3"/>
    </x:row>
    <x:row r="29" ht="34" customHeight="1">
      <x:c r="A29" s="46"/>
      <x:c r="B29" s="46"/>
      <x:c r="C29" s="46"/>
      <x:c r="D29" s="90" t="str">
        <x:f>IF(E29="Review disclosure and comparability",C29/B29,"")</x:f>
      </x:c>
      <x:c r="E29" s="83" t="str">
        <x:f>IF(A29="","",IF(COUNT(B29:C29)&lt;2,"Complete counts",IF(OR(B29&lt;=0,C29&lt;0,C29&gt;B29,MOD(B29,1)&lt;&gt;0,MOD(C29,1)&lt;&gt;0),"Invalid counts","Review disclosure and comparability")))</x:f>
      </x:c>
      <x:c r="F29" s="46"/>
      <x:c r="G29" s="46"/>
      <x:c r="H29" s="3"/>
      <x:c r="I29" s="3"/>
      <x:c r="J29" s="3"/>
      <x:c r="K29" s="3"/>
      <x:c r="L29" s="3"/>
      <x:c r="M29" s="3"/>
      <x:c r="N29" s="3"/>
      <x:c r="O29" s="3"/>
      <x:c r="P29" s="3"/>
      <x:c r="Q29" s="3"/>
      <x:c r="R29" s="3"/>
    </x:row>
    <x:row r="30" ht="34" customHeight="1">
      <x:c r="A30" s="46"/>
      <x:c r="B30" s="46"/>
      <x:c r="C30" s="46"/>
      <x:c r="D30" s="90" t="str">
        <x:f>IF(E30="Review disclosure and comparability",C30/B30,"")</x:f>
      </x:c>
      <x:c r="E30" s="83" t="str">
        <x:f>IF(A30="","",IF(COUNT(B30:C30)&lt;2,"Complete counts",IF(OR(B30&lt;=0,C30&lt;0,C30&gt;B30,MOD(B30,1)&lt;&gt;0,MOD(C30,1)&lt;&gt;0),"Invalid counts","Review disclosure and comparability")))</x:f>
      </x:c>
      <x:c r="F30" s="46"/>
      <x:c r="G30" s="46"/>
      <x:c r="H30" s="3"/>
      <x:c r="I30" s="3"/>
      <x:c r="J30" s="3"/>
      <x:c r="K30" s="3"/>
      <x:c r="L30" s="3"/>
      <x:c r="M30" s="3"/>
      <x:c r="N30" s="3"/>
      <x:c r="O30" s="3"/>
      <x:c r="P30" s="3"/>
      <x:c r="Q30" s="3"/>
      <x:c r="R30" s="3"/>
    </x:row>
    <x:row r="31" ht="34" customHeight="1">
      <x:c r="A31" s="46"/>
      <x:c r="B31" s="46"/>
      <x:c r="C31" s="46"/>
      <x:c r="D31" s="90" t="str">
        <x:f>IF(E31="Review disclosure and comparability",C31/B31,"")</x:f>
      </x:c>
      <x:c r="E31" s="83" t="str">
        <x:f>IF(A31="","",IF(COUNT(B31:C31)&lt;2,"Complete counts",IF(OR(B31&lt;=0,C31&lt;0,C31&gt;B31,MOD(B31,1)&lt;&gt;0,MOD(C31,1)&lt;&gt;0),"Invalid counts","Review disclosure and comparability")))</x:f>
      </x:c>
      <x:c r="F31" s="46"/>
      <x:c r="G31" s="46"/>
      <x:c r="H31" s="3"/>
      <x:c r="I31" s="3"/>
      <x:c r="J31" s="3"/>
      <x:c r="K31" s="3"/>
      <x:c r="L31" s="3"/>
      <x:c r="M31" s="3"/>
      <x:c r="N31" s="3"/>
      <x:c r="O31" s="3"/>
      <x:c r="P31" s="3"/>
      <x:c r="Q31" s="3"/>
      <x:c r="R31" s="3"/>
    </x:row>
    <x:row r="32" ht="34" customHeight="1">
      <x:c r="A32" s="46"/>
      <x:c r="B32" s="46"/>
      <x:c r="C32" s="46"/>
      <x:c r="D32" s="90" t="str">
        <x:f>IF(E32="Review disclosure and comparability",C32/B32,"")</x:f>
      </x:c>
      <x:c r="E32" s="83" t="str">
        <x:f>IF(A32="","",IF(COUNT(B32:C32)&lt;2,"Complete counts",IF(OR(B32&lt;=0,C32&lt;0,C32&gt;B32,MOD(B32,1)&lt;&gt;0,MOD(C32,1)&lt;&gt;0),"Invalid counts","Review disclosure and comparability")))</x:f>
      </x:c>
      <x:c r="F32" s="46"/>
      <x:c r="G32" s="46"/>
      <x:c r="H32" s="3"/>
      <x:c r="I32" s="3"/>
      <x:c r="J32" s="3"/>
      <x:c r="K32" s="3"/>
      <x:c r="L32" s="3"/>
      <x:c r="M32" s="3"/>
      <x:c r="N32" s="3"/>
      <x:c r="O32" s="3"/>
      <x:c r="P32" s="3"/>
      <x:c r="Q32" s="3"/>
      <x:c r="R32" s="3"/>
    </x:row>
    <x:row r="33" ht="34" customHeight="1">
      <x:c r="A33" s="46"/>
      <x:c r="B33" s="46"/>
      <x:c r="C33" s="46"/>
      <x:c r="D33" s="90" t="str">
        <x:f>IF(E33="Review disclosure and comparability",C33/B33,"")</x:f>
      </x:c>
      <x:c r="E33" s="83" t="str">
        <x:f>IF(A33="","",IF(COUNT(B33:C33)&lt;2,"Complete counts",IF(OR(B33&lt;=0,C33&lt;0,C33&gt;B33,MOD(B33,1)&lt;&gt;0,MOD(C33,1)&lt;&gt;0),"Invalid counts","Review disclosure and comparability")))</x:f>
      </x:c>
      <x:c r="F33" s="46"/>
      <x:c r="G33" s="46"/>
      <x:c r="H33" s="3"/>
      <x:c r="I33" s="3"/>
      <x:c r="J33" s="3"/>
      <x:c r="K33" s="3"/>
      <x:c r="L33" s="3"/>
      <x:c r="M33" s="3"/>
      <x:c r="N33" s="3"/>
      <x:c r="O33" s="3"/>
      <x:c r="P33" s="3"/>
      <x:c r="Q33" s="3"/>
      <x:c r="R33" s="3"/>
    </x:row>
    <x:row r="34" ht="34" customHeight="1">
      <x:c r="A34" s="46"/>
      <x:c r="B34" s="46"/>
      <x:c r="C34" s="46"/>
      <x:c r="D34" s="90" t="str">
        <x:f>IF(E34="Review disclosure and comparability",C34/B34,"")</x:f>
      </x:c>
      <x:c r="E34" s="83" t="str">
        <x:f>IF(A34="","",IF(COUNT(B34:C34)&lt;2,"Complete counts",IF(OR(B34&lt;=0,C34&lt;0,C34&gt;B34,MOD(B34,1)&lt;&gt;0,MOD(C34,1)&lt;&gt;0),"Invalid counts","Review disclosure and comparability")))</x:f>
      </x:c>
      <x:c r="F34" s="46"/>
      <x:c r="G34" s="46"/>
      <x:c r="H34" s="3"/>
      <x:c r="I34" s="3"/>
      <x:c r="J34" s="3"/>
      <x:c r="K34" s="3"/>
      <x:c r="L34" s="3"/>
      <x:c r="M34" s="3"/>
      <x:c r="N34" s="3"/>
      <x:c r="O34" s="3"/>
      <x:c r="P34" s="3"/>
      <x:c r="Q34" s="3"/>
      <x:c r="R34" s="3"/>
    </x:row>
    <x:row r="35" ht="34" customHeight="1">
      <x:c r="A35" s="46"/>
      <x:c r="B35" s="46"/>
      <x:c r="C35" s="46"/>
      <x:c r="D35" s="90" t="str">
        <x:f>IF(E35="Review disclosure and comparability",C35/B35,"")</x:f>
      </x:c>
      <x:c r="E35" s="83" t="str">
        <x:f>IF(A35="","",IF(COUNT(B35:C35)&lt;2,"Complete counts",IF(OR(B35&lt;=0,C35&lt;0,C35&gt;B35,MOD(B35,1)&lt;&gt;0,MOD(C35,1)&lt;&gt;0),"Invalid counts","Review disclosure and comparability")))</x:f>
      </x:c>
      <x:c r="F35" s="46"/>
      <x:c r="G35" s="46"/>
      <x:c r="H35" s="3"/>
      <x:c r="I35" s="3"/>
      <x:c r="J35" s="3"/>
      <x:c r="K35" s="3"/>
      <x:c r="L35" s="3"/>
      <x:c r="M35" s="3"/>
      <x:c r="N35" s="3"/>
      <x:c r="O35" s="3"/>
      <x:c r="P35" s="3"/>
      <x:c r="Q35" s="3"/>
      <x:c r="R35" s="3"/>
    </x:row>
    <x:row r="36" ht="34" customHeight="1">
      <x:c r="A36" s="46"/>
      <x:c r="B36" s="46"/>
      <x:c r="C36" s="46"/>
      <x:c r="D36" s="90" t="str">
        <x:f>IF(E36="Review disclosure and comparability",C36/B36,"")</x:f>
      </x:c>
      <x:c r="E36" s="83" t="str">
        <x:f>IF(A36="","",IF(COUNT(B36:C36)&lt;2,"Complete counts",IF(OR(B36&lt;=0,C36&lt;0,C36&gt;B36,MOD(B36,1)&lt;&gt;0,MOD(C36,1)&lt;&gt;0),"Invalid counts","Review disclosure and comparability")))</x:f>
      </x:c>
      <x:c r="F36" s="46"/>
      <x:c r="G36" s="46"/>
      <x:c r="H36" s="3"/>
      <x:c r="I36" s="3"/>
      <x:c r="J36" s="3"/>
      <x:c r="K36" s="3"/>
      <x:c r="L36" s="3"/>
      <x:c r="M36" s="3"/>
      <x:c r="N36" s="3"/>
      <x:c r="O36" s="3"/>
      <x:c r="P36" s="3"/>
      <x:c r="Q36" s="3"/>
      <x:c r="R36" s="3"/>
    </x:row>
    <x:row r="37" ht="34" customHeight="1">
      <x:c r="A37" s="46"/>
      <x:c r="B37" s="46"/>
      <x:c r="C37" s="46"/>
      <x:c r="D37" s="90" t="str">
        <x:f>IF(E37="Review disclosure and comparability",C37/B37,"")</x:f>
      </x:c>
      <x:c r="E37" s="83" t="str">
        <x:f>IF(A37="","",IF(COUNT(B37:C37)&lt;2,"Complete counts",IF(OR(B37&lt;=0,C37&lt;0,C37&gt;B37,MOD(B37,1)&lt;&gt;0,MOD(C37,1)&lt;&gt;0),"Invalid counts","Review disclosure and comparability")))</x:f>
      </x:c>
      <x:c r="F37" s="46"/>
      <x:c r="G37" s="46"/>
      <x:c r="H37" s="3"/>
      <x:c r="I37" s="3"/>
      <x:c r="J37" s="3"/>
      <x:c r="K37" s="3"/>
      <x:c r="L37" s="3"/>
      <x:c r="M37" s="3"/>
      <x:c r="N37" s="3"/>
      <x:c r="O37" s="3"/>
      <x:c r="P37" s="3"/>
      <x:c r="Q37" s="3"/>
      <x:c r="R37" s="3"/>
    </x:row>
    <x:row r="38" ht="34" customHeight="1">
      <x:c r="A38" s="46"/>
      <x:c r="B38" s="46"/>
      <x:c r="C38" s="46"/>
      <x:c r="D38" s="90" t="str">
        <x:f>IF(E38="Review disclosure and comparability",C38/B38,"")</x:f>
      </x:c>
      <x:c r="E38" s="83" t="str">
        <x:f>IF(A38="","",IF(COUNT(B38:C38)&lt;2,"Complete counts",IF(OR(B38&lt;=0,C38&lt;0,C38&gt;B38,MOD(B38,1)&lt;&gt;0,MOD(C38,1)&lt;&gt;0),"Invalid counts","Review disclosure and comparability")))</x:f>
      </x:c>
      <x:c r="F38" s="46"/>
      <x:c r="G38" s="46"/>
      <x:c r="H38" s="3"/>
      <x:c r="I38" s="3"/>
      <x:c r="J38" s="3"/>
      <x:c r="K38" s="3"/>
      <x:c r="L38" s="3"/>
      <x:c r="M38" s="3"/>
      <x:c r="N38" s="3"/>
      <x:c r="O38" s="3"/>
      <x:c r="P38" s="3"/>
      <x:c r="Q38" s="3"/>
      <x:c r="R38" s="3"/>
    </x:row>
    <x:row r="39" ht="34" customHeight="1">
      <x:c r="A39" s="46"/>
      <x:c r="B39" s="46"/>
      <x:c r="C39" s="46"/>
      <x:c r="D39" s="90" t="str">
        <x:f>IF(E39="Review disclosure and comparability",C39/B39,"")</x:f>
      </x:c>
      <x:c r="E39" s="83" t="str">
        <x:f>IF(A39="","",IF(COUNT(B39:C39)&lt;2,"Complete counts",IF(OR(B39&lt;=0,C39&lt;0,C39&gt;B39,MOD(B39,1)&lt;&gt;0,MOD(C39,1)&lt;&gt;0),"Invalid counts","Review disclosure and comparability")))</x:f>
      </x:c>
      <x:c r="F39" s="46"/>
      <x:c r="G39" s="46"/>
      <x:c r="H39" s="3"/>
      <x:c r="I39" s="3"/>
      <x:c r="J39" s="3"/>
      <x:c r="K39" s="3"/>
      <x:c r="L39" s="3"/>
      <x:c r="M39" s="3"/>
      <x:c r="N39" s="3"/>
      <x:c r="O39" s="3"/>
      <x:c r="P39" s="3"/>
      <x:c r="Q39" s="3"/>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20" customHeight="1">
      <x:c r="A42" s="3"/>
      <x:c r="B42" s="3"/>
      <x:c r="C42" s="3"/>
      <x:c r="D42" s="3"/>
      <x:c r="E42" s="3"/>
      <x:c r="F42" s="3"/>
      <x:c r="G42" s="3"/>
      <x:c r="H42" s="3"/>
      <x:c r="I42" s="3"/>
      <x:c r="J42" s="3"/>
      <x:c r="K42" s="3"/>
      <x:c r="L42" s="3"/>
      <x:c r="M42" s="3"/>
      <x:c r="N42" s="3"/>
      <x:c r="O42" s="3"/>
      <x:c r="P42" s="3"/>
      <x:c r="Q42" s="3"/>
      <x:c r="R42" s="3"/>
    </x:row>
    <x:row r="43" ht="20" customHeight="1">
      <x:c r="A43" s="17" t="str">
        <x:v>No automated disclosure threshold or significance test is applied. Small/distinctive groups may be identifiable. Apply approved local disclosure controls and do not rank sites or routes from tiny, non-comparable samples. Non-response and case mix remain part of the interpretation.</x:v>
      </x:c>
      <x:c r="B43" s="17"/>
      <x:c r="C43" s="17"/>
      <x:c r="D43" s="17"/>
      <x:c r="E43" s="17"/>
      <x:c r="F43" s="17"/>
      <x:c r="G43" s="17"/>
      <x:c r="H43" s="17"/>
      <x:c r="I43" s="17"/>
      <x:c r="J43" s="17"/>
      <x:c r="K43" s="17"/>
      <x:c r="L43" s="17"/>
      <x:c r="M43" s="3"/>
      <x:c r="N43" s="3"/>
      <x:c r="O43" s="3"/>
      <x:c r="P43" s="3"/>
      <x:c r="Q43" s="3"/>
      <x:c r="R43" s="3"/>
    </x:row>
    <x:row r="44" ht="20" customHeight="1">
      <x:c r="A44" s="17"/>
      <x:c r="B44" s="17"/>
      <x:c r="C44" s="17"/>
      <x:c r="D44" s="17"/>
      <x:c r="E44" s="17"/>
      <x:c r="F44" s="17"/>
      <x:c r="G44" s="17"/>
      <x:c r="H44" s="17"/>
      <x:c r="I44" s="17"/>
      <x:c r="J44" s="17"/>
      <x:c r="K44" s="17"/>
      <x:c r="L44" s="17"/>
      <x:c r="M44" s="3"/>
      <x:c r="N44" s="3"/>
      <x:c r="O44" s="3"/>
      <x:c r="P44" s="3"/>
      <x:c r="Q44" s="3"/>
      <x:c r="R44" s="3"/>
    </x:row>
    <x:row r="45" ht="20" customHeight="1">
      <x:c r="A45" s="17"/>
      <x:c r="B45" s="17"/>
      <x:c r="C45" s="17"/>
      <x:c r="D45" s="17"/>
      <x:c r="E45" s="17"/>
      <x:c r="F45" s="17"/>
      <x:c r="G45" s="17"/>
      <x:c r="H45" s="17"/>
      <x:c r="I45" s="17"/>
      <x:c r="J45" s="17"/>
      <x:c r="K45" s="17"/>
      <x:c r="L45" s="17"/>
      <x:c r="M45" s="3"/>
      <x:c r="N45" s="3"/>
      <x:c r="O45" s="3"/>
      <x:c r="P45" s="3"/>
      <x:c r="Q45" s="3"/>
      <x:c r="R45" s="3"/>
    </x:row>
    <x:row r="46" ht="20" customHeight="1">
      <x:c r="A46" s="17"/>
      <x:c r="B46" s="17"/>
      <x:c r="C46" s="17"/>
      <x:c r="D46" s="17"/>
      <x:c r="E46" s="17"/>
      <x:c r="F46" s="17"/>
      <x:c r="G46" s="17"/>
      <x:c r="H46" s="17"/>
      <x:c r="I46" s="17"/>
      <x:c r="J46" s="17"/>
      <x:c r="K46" s="17"/>
      <x:c r="L46" s="17"/>
      <x:c r="M46" s="3"/>
      <x:c r="N46" s="3"/>
      <x:c r="O46" s="3"/>
      <x:c r="P46" s="3"/>
      <x:c r="Q46" s="3"/>
      <x:c r="R46" s="3"/>
    </x:row>
    <x:row r="47" ht="20" customHeight="1">
      <x:c r="A47" s="17"/>
      <x:c r="B47" s="17"/>
      <x:c r="C47" s="17"/>
      <x:c r="D47" s="17"/>
      <x:c r="E47" s="17"/>
      <x:c r="F47" s="17"/>
      <x:c r="G47" s="17"/>
      <x:c r="H47" s="17"/>
      <x:c r="I47" s="17"/>
      <x:c r="J47" s="17"/>
      <x:c r="K47" s="17"/>
      <x:c r="L47" s="17"/>
      <x:c r="M47" s="3"/>
      <x:c r="N47" s="3"/>
      <x:c r="O47" s="3"/>
      <x:c r="P47" s="3"/>
      <x:c r="Q47" s="3"/>
      <x:c r="R47" s="3"/>
    </x:row>
    <x:row r="48" ht="20" customHeight="1">
      <x:c r="A48" s="17"/>
      <x:c r="B48" s="17"/>
      <x:c r="C48" s="17"/>
      <x:c r="D48" s="17"/>
      <x:c r="E48" s="17"/>
      <x:c r="F48" s="17"/>
      <x:c r="G48" s="17"/>
      <x:c r="H48" s="17"/>
      <x:c r="I48" s="17"/>
      <x:c r="J48" s="17"/>
      <x:c r="K48" s="17"/>
      <x:c r="L48" s="17"/>
      <x:c r="M48" s="3"/>
      <x:c r="N48" s="3"/>
      <x:c r="O48" s="3"/>
      <x:c r="P48" s="3"/>
      <x:c r="Q48" s="3"/>
      <x:c r="R48" s="3"/>
    </x:row>
    <x:row r="49" ht="20" customHeight="1">
      <x:c r="A49" s="3"/>
      <x:c r="B49" s="3"/>
      <x:c r="C49" s="3"/>
      <x:c r="D49" s="3"/>
      <x:c r="E49" s="3"/>
      <x:c r="F49" s="3"/>
      <x:c r="G49" s="3"/>
      <x:c r="H49" s="3"/>
      <x:c r="I49" s="3"/>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S09</x:v>
      </x:c>
      <x:c r="B110" s="34"/>
      <x:c r="C110" s="34"/>
      <x:c r="D110" s="34"/>
      <x:c r="E110" s="34"/>
      <x:c r="F110" s="34"/>
      <x:c r="G110" s="34"/>
      <x:c r="H110" s="34"/>
      <x:c r="I110" s="34"/>
      <x:c r="J110" s="34"/>
      <x:c r="K110" s="34"/>
      <x:c r="L110" s="34"/>
      <x:c r="M110" s="3"/>
      <x:c r="N110" s="3"/>
      <x:c r="O110" s="3"/>
      <x:c r="P110" s="3"/>
      <x:c r="Q110" s="3"/>
      <x:c r="R110" s="3"/>
    </x:row>
    <x:row r="111" ht="20" customHeight="1">
      <x:c r="A111" s="40" t="str">
        <x:v>01  Question and grouping</x:v>
      </x:c>
      <x:c r="B111" s="40"/>
      <x:c r="C111" s="40"/>
      <x:c r="D111" s="17" t="str">
        <x:v>State the process comparison and rationale.</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Definitions and denominators</x:v>
      </x:c>
      <x:c r="B117" s="40"/>
      <x:c r="C117" s="40"/>
      <x:c r="D117" s="17" t="str">
        <x:v>Confirm consistent eligibility and measurement.</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Descriptive results</x:v>
      </x:c>
      <x:c r="B123" s="40"/>
      <x:c r="C123" s="40"/>
      <x:c r="D123" s="17" t="str">
        <x:v>Record counts and avoid unsupported precision.</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Context and uncertainty</x:v>
      </x:c>
      <x:c r="B129" s="40"/>
      <x:c r="C129" s="40"/>
      <x:c r="D129" s="17" t="str">
        <x:v>Consider demand, complexity and operating conditions.</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Privacy and involvement</x:v>
      </x:c>
      <x:c r="B135" s="40"/>
      <x:c r="C135" s="40"/>
      <x:c r="D135" s="17" t="str">
        <x:v>Specify safe reporting and affected-user input.</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Action and follow-up</x:v>
      </x:c>
      <x:c r="B141" s="40"/>
      <x:c r="C141" s="40"/>
      <x:c r="D141" s="17" t="str">
        <x:v>State the next test and balancing conditions.</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Do not infer discrimination or causation from an unadjusted difference alone. Do not report identifiable small cells or combine protected characteristics casually. The workbook provides descriptive group summaries, not significance tests or a fairness certification.</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P03, D07, A04  |  METHOD SOURCES: U01, R03</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 ref="A43:L48"/>
  </x:mergeCells>
  <x:pageMargins left="0.7" right="0.7" top="0.75" bottom="0.75" header="0.3" footer="0.3"/>
</x:worksheet>
</file>

<file path=xl/worksheets/sheet38.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S10  Qualitative coding and evidence triangulation</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Combine accounts, observations and process data without pretending they are interchangeable.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S10</x:v>
      </x:c>
      <x:c r="B9" s="34"/>
      <x:c r="C9" s="34"/>
      <x:c r="D9" s="34"/>
      <x:c r="E9" s="34"/>
      <x:c r="F9" s="34"/>
      <x:c r="G9" s="34"/>
      <x:c r="H9" s="34"/>
      <x:c r="I9" s="34"/>
      <x:c r="J9" s="34"/>
      <x:c r="K9" s="34"/>
      <x:c r="L9" s="34"/>
      <x:c r="M9" s="3"/>
      <x:c r="N9" s="3"/>
      <x:c r="O9" s="3"/>
      <x:c r="P9" s="3"/>
      <x:c r="Q9" s="3"/>
      <x:c r="R9" s="3"/>
    </x:row>
    <x:row r="10" ht="20" customHeight="1">
      <x:c r="A10" s="40" t="str">
        <x:v>01  Evidence inventory</x:v>
      </x:c>
      <x:c r="B10" s="40"/>
      <x:c r="C10" s="40"/>
      <x:c r="D10" s="17" t="str">
        <x:v>Record source, date, scope and restrictions.</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Coding frame</x:v>
      </x:c>
      <x:c r="B16" s="40"/>
      <x:c r="C16" s="40"/>
      <x:c r="D16" s="17" t="str">
        <x:v>Define themes and allow new categories.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Supporting evidence</x:v>
      </x:c>
      <x:c r="B22" s="40"/>
      <x:c r="C22" s="40"/>
      <x:c r="D22" s="17" t="str">
        <x:v>Record specific observations and source links.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Contrary and uncertain evidence</x:v>
      </x:c>
      <x:c r="B28" s="40"/>
      <x:c r="C28" s="40"/>
      <x:c r="D28" s="17" t="str">
        <x:v>Retain differences and alternative accounts.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Triangulated finding</x:v>
      </x:c>
      <x:c r="B34" s="40"/>
      <x:c r="C34" s="40"/>
      <x:c r="D34" s="17" t="str">
        <x:v>State the conclusion and its confidence boundary.</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Next action and return</x:v>
      </x:c>
      <x:c r="B40" s="40"/>
      <x:c r="C40" s="40"/>
      <x:c r="D40" s="17" t="str">
        <x:v>Link the finding to a test and participant feedback.</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Do not turn the number of comments into a workforce percentage. Do not fabricate quotations or combine several people into an unlabelled quote. Preserve important minority concerns and use paraphrases when exact wording could identify someone.</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P09, S12, V03  |  METHOD SOURCES: U01, R03</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39.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35" hidden="0" customWidth="1"/>
    <x:col min="2" max="2" width="22" hidden="0" customWidth="1"/>
    <x:col min="3" max="3" width="66"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S11  Time, capacity and cost-of-change analysis</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Separate released capacity, economic value and actual cash savings.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0" customHeight="1">
      <x:c r="A9" s="3"/>
      <x:c r="B9" s="3"/>
      <x:c r="C9" s="3"/>
      <x:c r="D9" s="3"/>
      <x:c r="E9" s="3"/>
      <x:c r="F9" s="3"/>
      <x:c r="G9" s="3"/>
      <x:c r="H9" s="3"/>
      <x:c r="I9" s="3"/>
      <x:c r="J9" s="3"/>
      <x:c r="K9" s="3"/>
      <x:c r="L9" s="3"/>
      <x:c r="M9" s="3"/>
      <x:c r="N9" s="3"/>
      <x:c r="O9" s="3"/>
      <x:c r="P9" s="3"/>
      <x:c r="Q9" s="3"/>
      <x:c r="R9" s="3"/>
    </x:row>
    <x:row r="10" ht="34" customHeight="1">
      <x:c r="A10" s="95" t="str">
        <x:v>Touch minutes before</x:v>
      </x:c>
      <x:c r="B10" s="98"/>
      <x:c r="C10" s="66" t="str">
        <x:v>Measured or stated assumption</x:v>
      </x:c>
      <x:c r="D10" s="3"/>
      <x:c r="E10" s="3"/>
      <x:c r="F10" s="3"/>
      <x:c r="G10" s="3"/>
      <x:c r="H10" s="3"/>
      <x:c r="I10" s="3"/>
      <x:c r="J10" s="3"/>
      <x:c r="K10" s="3"/>
      <x:c r="L10" s="3"/>
      <x:c r="M10" s="3"/>
      <x:c r="N10" s="3"/>
      <x:c r="O10" s="3"/>
      <x:c r="P10" s="3"/>
      <x:c r="Q10" s="3"/>
      <x:c r="R10" s="3"/>
    </x:row>
    <x:row r="11" ht="34" customHeight="1">
      <x:c r="A11" s="95" t="str">
        <x:v>Touch minutes after</x:v>
      </x:c>
      <x:c r="B11" s="98"/>
      <x:c r="C11" s="66" t="str">
        <x:v>Measured or stated assumption</x:v>
      </x:c>
      <x:c r="D11" s="3"/>
      <x:c r="E11" s="3"/>
      <x:c r="F11" s="3"/>
      <x:c r="G11" s="3"/>
      <x:c r="H11" s="3"/>
      <x:c r="I11" s="3"/>
      <x:c r="J11" s="3"/>
      <x:c r="K11" s="3"/>
      <x:c r="L11" s="3"/>
      <x:c r="M11" s="3"/>
      <x:c r="N11" s="3"/>
      <x:c r="O11" s="3"/>
      <x:c r="P11" s="3"/>
      <x:c r="Q11" s="3"/>
      <x:c r="R11" s="3"/>
    </x:row>
    <x:row r="12" ht="34" customHeight="1">
      <x:c r="A12" s="95" t="str">
        <x:v>Eligible requests / month</x:v>
      </x:c>
      <x:c r="B12" s="98"/>
      <x:c r="C12" s="66" t="str">
        <x:v>Use comparable volume; no automatic extrapolation</x:v>
      </x:c>
      <x:c r="D12" s="3"/>
      <x:c r="E12" s="3"/>
      <x:c r="F12" s="3"/>
      <x:c r="G12" s="3"/>
      <x:c r="H12" s="3"/>
      <x:c r="I12" s="3"/>
      <x:c r="J12" s="3"/>
      <x:c r="K12" s="3"/>
      <x:c r="L12" s="3"/>
      <x:c r="M12" s="3"/>
      <x:c r="N12" s="3"/>
      <x:c r="O12" s="3"/>
      <x:c r="P12" s="3"/>
      <x:c r="Q12" s="3"/>
      <x:c r="R12" s="3"/>
    </x:row>
    <x:row r="13" ht="34" customHeight="1">
      <x:c r="A13" s="95" t="str">
        <x:v>Months in scenario</x:v>
      </x:c>
      <x:c r="B13" s="98"/>
      <x:c r="C13" s="66" t="str">
        <x:v>Enter duration, normally 12 for an annual scenario</x:v>
      </x:c>
      <x:c r="D13" s="3"/>
      <x:c r="E13" s="3"/>
      <x:c r="F13" s="3"/>
      <x:c r="G13" s="3"/>
      <x:c r="H13" s="3"/>
      <x:c r="I13" s="3"/>
      <x:c r="J13" s="3"/>
      <x:c r="K13" s="3"/>
      <x:c r="L13" s="3"/>
      <x:c r="M13" s="3"/>
      <x:c r="N13" s="3"/>
      <x:c r="O13" s="3"/>
      <x:c r="P13" s="3"/>
      <x:c r="Q13" s="3"/>
      <x:c r="R13" s="3"/>
    </x:row>
    <x:row r="14" ht="34" customHeight="1">
      <x:c r="A14" s="95" t="str">
        <x:v>Assumed value / hour</x:v>
      </x:c>
      <x:c r="B14" s="98"/>
      <x:c r="C14" s="66" t="str">
        <x:v>Capacity valuation, not payroll reduction</x:v>
      </x:c>
      <x:c r="D14" s="3"/>
      <x:c r="E14" s="3"/>
      <x:c r="F14" s="3"/>
      <x:c r="G14" s="3"/>
      <x:c r="H14" s="3"/>
      <x:c r="I14" s="3"/>
      <x:c r="J14" s="3"/>
      <x:c r="K14" s="3"/>
      <x:c r="L14" s="3"/>
      <x:c r="M14" s="3"/>
      <x:c r="N14" s="3"/>
      <x:c r="O14" s="3"/>
      <x:c r="P14" s="3"/>
      <x:c r="Q14" s="3"/>
      <x:c r="R14" s="3"/>
    </x:row>
    <x:row r="15" ht="34" customHeight="1">
      <x:c r="A15" s="95" t="str">
        <x:v>One-off implementation cost</x:v>
      </x:c>
      <x:c r="B15" s="98"/>
      <x:c r="C15" s="66" t="str">
        <x:v>Include relevant setup costs</x:v>
      </x:c>
      <x:c r="D15" s="3"/>
      <x:c r="E15" s="3"/>
      <x:c r="F15" s="3"/>
      <x:c r="G15" s="3"/>
      <x:c r="H15" s="3"/>
      <x:c r="I15" s="3"/>
      <x:c r="J15" s="3"/>
      <x:c r="K15" s="3"/>
      <x:c r="L15" s="3"/>
      <x:c r="M15" s="3"/>
      <x:c r="N15" s="3"/>
      <x:c r="O15" s="3"/>
      <x:c r="P15" s="3"/>
      <x:c r="Q15" s="3"/>
      <x:c r="R15" s="3"/>
    </x:row>
    <x:row r="16" ht="34" customHeight="1">
      <x:c r="A16" s="95" t="str">
        <x:v>Running cost for same period</x:v>
      </x:c>
      <x:c r="B16" s="98"/>
      <x:c r="C16" s="66" t="str">
        <x:v>Match the period above</x:v>
      </x:c>
      <x:c r="D16" s="3"/>
      <x:c r="E16" s="3"/>
      <x:c r="F16" s="3"/>
      <x:c r="G16" s="3"/>
      <x:c r="H16" s="3"/>
      <x:c r="I16" s="3"/>
      <x:c r="J16" s="3"/>
      <x:c r="K16" s="3"/>
      <x:c r="L16" s="3"/>
      <x:c r="M16" s="3"/>
      <x:c r="N16" s="3"/>
      <x:c r="O16" s="3"/>
      <x:c r="P16" s="3"/>
      <x:c r="Q16" s="3"/>
      <x:c r="R16" s="3"/>
    </x:row>
    <x:row r="17" ht="34" customHeight="1">
      <x:c r="A17" s="95" t="str">
        <x:v>Confirmed cash saving</x:v>
      </x:c>
      <x:c r="B17" s="98"/>
      <x:c r="C17" s="66" t="str">
        <x:v>Enter only with budget-owner evidence; blank = unconfirmed</x:v>
      </x:c>
      <x:c r="D17" s="3"/>
      <x:c r="E17" s="3"/>
      <x:c r="F17" s="3"/>
      <x:c r="G17" s="3"/>
      <x:c r="H17" s="3"/>
      <x:c r="I17" s="3"/>
      <x:c r="J17" s="3"/>
      <x:c r="K17" s="3"/>
      <x:c r="L17" s="3"/>
      <x:c r="M17" s="3"/>
      <x:c r="N17" s="3"/>
      <x:c r="O17" s="3"/>
      <x:c r="P17" s="3"/>
      <x:c r="Q17" s="3"/>
      <x:c r="R17" s="3"/>
    </x:row>
    <x:row r="18" ht="34" customHeight="1">
      <x:c r="A18" s="95" t="str">
        <x:v>Minutes released / request</x:v>
      </x:c>
      <x:c r="B18" s="99" t="str">
        <x:f>IF(AND(COUNT(B10:B11)=2,MIN(B10:B11)&gt;=0),B10-B11,"")</x:f>
      </x:c>
      <x:c r="C18" s="66" t="str">
        <x:v>Calculated; negative means more effort</x:v>
      </x:c>
      <x:c r="D18" s="3"/>
      <x:c r="E18" s="3"/>
      <x:c r="F18" s="3"/>
      <x:c r="G18" s="3"/>
      <x:c r="H18" s="3"/>
      <x:c r="I18" s="3"/>
      <x:c r="J18" s="3"/>
      <x:c r="K18" s="3"/>
      <x:c r="L18" s="3"/>
      <x:c r="M18" s="3"/>
      <x:c r="N18" s="3"/>
      <x:c r="O18" s="3"/>
      <x:c r="P18" s="3"/>
      <x:c r="Q18" s="3"/>
      <x:c r="R18" s="3"/>
    </x:row>
    <x:row r="19" ht="34" customHeight="1">
      <x:c r="A19" s="95" t="str">
        <x:v>Hours released in period</x:v>
      </x:c>
      <x:c r="B19" s="99" t="str">
        <x:f>IF(AND(ISNUMBER(B18),COUNT(B12:B13)=2,B12&gt;=0,B13&gt;0,MOD(B13,1)=0),B18*B12*B13/'01 Setup'!$B$21,"")</x:f>
      </x:c>
      <x:c r="C19" s="66" t="str">
        <x:v>Calculated with consistent units</x:v>
      </x:c>
      <x:c r="D19" s="3"/>
      <x:c r="E19" s="3"/>
      <x:c r="F19" s="3"/>
      <x:c r="G19" s="3"/>
      <x:c r="H19" s="3"/>
      <x:c r="I19" s="3"/>
      <x:c r="J19" s="3"/>
      <x:c r="K19" s="3"/>
      <x:c r="L19" s="3"/>
      <x:c r="M19" s="3"/>
      <x:c r="N19" s="3"/>
      <x:c r="O19" s="3"/>
      <x:c r="P19" s="3"/>
      <x:c r="Q19" s="3"/>
      <x:c r="R19" s="3"/>
    </x:row>
    <x:row r="20" ht="34" customHeight="1">
      <x:c r="A20" s="95" t="str">
        <x:v>Capacity value</x:v>
      </x:c>
      <x:c r="B20" s="99" t="str">
        <x:f>IF(AND(ISNUMBER(B19),ISNUMBER(B14),B14&gt;=0),B19*B14,"")</x:f>
      </x:c>
      <x:c r="C20" s="66" t="str">
        <x:v>Not a cash saving</x:v>
      </x:c>
      <x:c r="D20" s="3"/>
      <x:c r="E20" s="3"/>
      <x:c r="F20" s="3"/>
      <x:c r="G20" s="3"/>
      <x:c r="H20" s="3"/>
      <x:c r="I20" s="3"/>
      <x:c r="J20" s="3"/>
      <x:c r="K20" s="3"/>
      <x:c r="L20" s="3"/>
      <x:c r="M20" s="3"/>
      <x:c r="N20" s="3"/>
      <x:c r="O20" s="3"/>
      <x:c r="P20" s="3"/>
      <x:c r="Q20" s="3"/>
      <x:c r="R20" s="3"/>
    </x:row>
    <x:row r="21" ht="34" customHeight="1">
      <x:c r="A21" s="95" t="str">
        <x:v>Total stated cost</x:v>
      </x:c>
      <x:c r="B21" s="99" t="str">
        <x:f>IF(AND(COUNT(B15:B16)=2,MIN(B15:B16)&gt;=0),SUM(B15:B16),"")</x:f>
      </x:c>
      <x:c r="C21" s="66" t="str">
        <x:v>Only calculated when both costs entered</x:v>
      </x:c>
      <x:c r="D21" s="3"/>
      <x:c r="E21" s="3"/>
      <x:c r="F21" s="3"/>
      <x:c r="G21" s="3"/>
      <x:c r="H21" s="3"/>
      <x:c r="I21" s="3"/>
      <x:c r="J21" s="3"/>
      <x:c r="K21" s="3"/>
      <x:c r="L21" s="3"/>
      <x:c r="M21" s="3"/>
      <x:c r="N21" s="3"/>
      <x:c r="O21" s="3"/>
      <x:c r="P21" s="3"/>
      <x:c r="Q21" s="3"/>
      <x:c r="R21" s="3"/>
    </x:row>
    <x:row r="22" ht="34" customHeight="1">
      <x:c r="A22" s="95" t="str">
        <x:v>Cash net effect</x:v>
      </x:c>
      <x:c r="B22" s="99" t="str">
        <x:f>IF(AND(ISNUMBER(B17),ISNUMBER(B21),B17&gt;=0),B17-B21,"")</x:f>
      </x:c>
      <x:c r="C22" s="66" t="str">
        <x:v>Only when cash saving and both costs are entered</x:v>
      </x:c>
      <x:c r="D22" s="3"/>
      <x:c r="E22" s="3"/>
      <x:c r="F22" s="3"/>
      <x:c r="G22" s="3"/>
      <x:c r="H22" s="3"/>
      <x:c r="I22" s="3"/>
      <x:c r="J22" s="3"/>
      <x:c r="K22" s="3"/>
      <x:c r="L22" s="3"/>
      <x:c r="M22" s="3"/>
      <x:c r="N22" s="3"/>
      <x:c r="O22" s="3"/>
      <x:c r="P22" s="3"/>
      <x:c r="Q22" s="3"/>
      <x:c r="R22" s="3"/>
    </x:row>
    <x:row r="23" ht="34" customHeight="1">
      <x:c r="A23" s="95" t="str">
        <x:v>Data check</x:v>
      </x:c>
      <x:c r="B23" s="14" t="str">
        <x:f>IF(COUNT(B10:B14)=0,"No scenario entered",IF(COUNT(B10:B14)&lt;5,"Complete time, volume, period and rate",IF(MIN(B10:B14)&lt;0,"Negative input - review",IF(OR(B13=0,MOD(B13,1)&lt;&gt;0),"Use positive whole months","Review assumptions"))))</x:f>
        <x:v>No scenario entered</x:v>
      </x:c>
      <x:c r="C23" s="66" t="str">
        <x:v>Complete inputs and review assumptions</x:v>
      </x:c>
      <x:c r="D23" s="3"/>
      <x:c r="E23" s="3"/>
      <x:c r="F23" s="3"/>
      <x:c r="G23" s="3"/>
      <x:c r="H23" s="3"/>
      <x:c r="I23" s="3"/>
      <x:c r="J23" s="3"/>
      <x:c r="K23" s="3"/>
      <x:c r="L23" s="3"/>
      <x:c r="M23" s="3"/>
      <x:c r="N23" s="3"/>
      <x:c r="O23" s="3"/>
      <x:c r="P23" s="3"/>
      <x:c r="Q23" s="3"/>
      <x:c r="R23" s="3"/>
    </x:row>
    <x:row r="24" ht="20" customHeight="1">
      <x:c r="A24" s="3"/>
      <x:c r="B24" s="3"/>
      <x:c r="C24" s="3"/>
      <x:c r="D24" s="3"/>
      <x:c r="E24" s="3"/>
      <x:c r="F24" s="3"/>
      <x:c r="G24" s="3"/>
      <x:c r="H24" s="3"/>
      <x:c r="I24" s="3"/>
      <x:c r="J24" s="3"/>
      <x:c r="K24" s="3"/>
      <x:c r="L24" s="3"/>
      <x:c r="M24" s="3"/>
      <x:c r="N24" s="3"/>
      <x:c r="O24" s="3"/>
      <x:c r="P24" s="3"/>
      <x:c r="Q24" s="3"/>
      <x:c r="R24" s="3"/>
    </x:row>
    <x:row r="25" ht="20" customHeight="1">
      <x:c r="A25" s="3"/>
      <x:c r="B25" s="3"/>
      <x:c r="C25" s="3"/>
      <x:c r="D25" s="3"/>
      <x:c r="E25" s="3"/>
      <x:c r="F25" s="3"/>
      <x:c r="G25" s="3"/>
      <x:c r="H25" s="3"/>
      <x:c r="I25" s="3"/>
      <x:c r="J25" s="3"/>
      <x:c r="K25" s="3"/>
      <x:c r="L25" s="3"/>
      <x:c r="M25" s="3"/>
      <x:c r="N25" s="3"/>
      <x:c r="O25" s="3"/>
      <x:c r="P25" s="3"/>
      <x:c r="Q25" s="3"/>
      <x:c r="R25" s="3"/>
    </x:row>
    <x:row r="26" ht="20" customHeight="1">
      <x:c r="A26" s="104" t="str">
        <x:v>DO NOT ADD CAPACITY VALUE TO THE SAME CASH SAVING. Elapsed waiting hours are not staff hours. A negative cash net effect is possible. These arithmetic outputs do not establish attribution, realisation or a business-case return.</x:v>
      </x:c>
      <x:c r="B26" s="104"/>
      <x:c r="C26" s="104"/>
      <x:c r="D26" s="104"/>
      <x:c r="E26" s="104"/>
      <x:c r="F26" s="104"/>
      <x:c r="G26" s="104"/>
      <x:c r="H26" s="104"/>
      <x:c r="I26" s="104"/>
      <x:c r="J26" s="104"/>
      <x:c r="K26" s="104"/>
      <x:c r="L26" s="104"/>
      <x:c r="M26" s="3"/>
      <x:c r="N26" s="3"/>
      <x:c r="O26" s="3"/>
      <x:c r="P26" s="3"/>
      <x:c r="Q26" s="3"/>
      <x:c r="R26" s="3"/>
    </x:row>
    <x:row r="27" ht="20" customHeight="1">
      <x:c r="A27" s="104"/>
      <x:c r="B27" s="104"/>
      <x:c r="C27" s="104"/>
      <x:c r="D27" s="104"/>
      <x:c r="E27" s="104"/>
      <x:c r="F27" s="104"/>
      <x:c r="G27" s="104"/>
      <x:c r="H27" s="104"/>
      <x:c r="I27" s="104"/>
      <x:c r="J27" s="104"/>
      <x:c r="K27" s="104"/>
      <x:c r="L27" s="104"/>
      <x:c r="M27" s="3"/>
      <x:c r="N27" s="3"/>
      <x:c r="O27" s="3"/>
      <x:c r="P27" s="3"/>
      <x:c r="Q27" s="3"/>
      <x:c r="R27" s="3"/>
    </x:row>
    <x:row r="28" ht="20" customHeight="1">
      <x:c r="A28" s="104"/>
      <x:c r="B28" s="104"/>
      <x:c r="C28" s="104"/>
      <x:c r="D28" s="104"/>
      <x:c r="E28" s="104"/>
      <x:c r="F28" s="104"/>
      <x:c r="G28" s="104"/>
      <x:c r="H28" s="104"/>
      <x:c r="I28" s="104"/>
      <x:c r="J28" s="104"/>
      <x:c r="K28" s="104"/>
      <x:c r="L28" s="104"/>
      <x:c r="M28" s="3"/>
      <x:c r="N28" s="3"/>
      <x:c r="O28" s="3"/>
      <x:c r="P28" s="3"/>
      <x:c r="Q28" s="3"/>
      <x:c r="R28" s="3"/>
    </x:row>
    <x:row r="29" ht="20" customHeight="1">
      <x:c r="A29" s="104"/>
      <x:c r="B29" s="104"/>
      <x:c r="C29" s="104"/>
      <x:c r="D29" s="104"/>
      <x:c r="E29" s="104"/>
      <x:c r="F29" s="104"/>
      <x:c r="G29" s="104"/>
      <x:c r="H29" s="104"/>
      <x:c r="I29" s="104"/>
      <x:c r="J29" s="104"/>
      <x:c r="K29" s="104"/>
      <x:c r="L29" s="104"/>
      <x:c r="M29" s="3"/>
      <x:c r="N29" s="3"/>
      <x:c r="O29" s="3"/>
      <x:c r="P29" s="3"/>
      <x:c r="Q29" s="3"/>
      <x:c r="R29" s="3"/>
    </x:row>
    <x:row r="30" ht="20" customHeight="1">
      <x:c r="A30" s="104"/>
      <x:c r="B30" s="104"/>
      <x:c r="C30" s="104"/>
      <x:c r="D30" s="104"/>
      <x:c r="E30" s="104"/>
      <x:c r="F30" s="104"/>
      <x:c r="G30" s="104"/>
      <x:c r="H30" s="104"/>
      <x:c r="I30" s="104"/>
      <x:c r="J30" s="104"/>
      <x:c r="K30" s="104"/>
      <x:c r="L30" s="104"/>
      <x:c r="M30" s="3"/>
      <x:c r="N30" s="3"/>
      <x:c r="O30" s="3"/>
      <x:c r="P30" s="3"/>
      <x:c r="Q30" s="3"/>
      <x:c r="R30" s="3"/>
    </x:row>
    <x:row r="31" ht="20" customHeight="1">
      <x:c r="A31" s="3"/>
      <x:c r="B31" s="3"/>
      <x:c r="C31" s="3"/>
      <x:c r="D31" s="3"/>
      <x:c r="E31" s="3"/>
      <x:c r="F31" s="3"/>
      <x:c r="G31" s="3"/>
      <x:c r="H31" s="3"/>
      <x:c r="I31" s="3"/>
      <x:c r="J31" s="3"/>
      <x:c r="K31" s="3"/>
      <x:c r="L31" s="3"/>
      <x:c r="M31" s="3"/>
      <x:c r="N31" s="3"/>
      <x:c r="O31" s="3"/>
      <x:c r="P31" s="3"/>
      <x:c r="Q31" s="3"/>
      <x:c r="R31" s="3"/>
    </x:row>
    <x:row r="32" ht="20" customHeight="1">
      <x:c r="A32" s="3"/>
      <x:c r="B32" s="3"/>
      <x:c r="C32" s="3"/>
      <x:c r="D32" s="3"/>
      <x:c r="E32" s="3"/>
      <x:c r="F32" s="3"/>
      <x:c r="G32" s="3"/>
      <x:c r="H32" s="3"/>
      <x:c r="I32" s="3"/>
      <x:c r="J32" s="3"/>
      <x:c r="K32" s="3"/>
      <x:c r="L32" s="3"/>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3"/>
      <x:c r="B34" s="3"/>
      <x:c r="C34" s="3"/>
      <x:c r="D34" s="3"/>
      <x:c r="E34" s="3"/>
      <x:c r="F34" s="3"/>
      <x:c r="G34" s="3"/>
      <x:c r="H34" s="3"/>
      <x:c r="I34" s="3"/>
      <x:c r="J34" s="3"/>
      <x:c r="K34" s="3"/>
      <x:c r="L34" s="3"/>
      <x:c r="M34" s="3"/>
      <x:c r="N34" s="3"/>
      <x:c r="O34" s="3"/>
      <x:c r="P34" s="3"/>
      <x:c r="Q34" s="3"/>
      <x:c r="R34" s="3"/>
    </x:row>
    <x:row r="35" ht="20" customHeight="1">
      <x:c r="A35" s="3"/>
      <x:c r="B35" s="3"/>
      <x:c r="C35" s="3"/>
      <x:c r="D35" s="3"/>
      <x:c r="E35" s="3"/>
      <x:c r="F35" s="3"/>
      <x:c r="G35" s="3"/>
      <x:c r="H35" s="3"/>
      <x:c r="I35" s="3"/>
      <x:c r="J35" s="3"/>
      <x:c r="K35" s="3"/>
      <x:c r="L35" s="3"/>
      <x:c r="M35" s="3"/>
      <x:c r="N35" s="3"/>
      <x:c r="O35" s="3"/>
      <x:c r="P35" s="3"/>
      <x:c r="Q35" s="3"/>
      <x:c r="R35" s="3"/>
    </x:row>
    <x:row r="36" ht="20" customHeight="1">
      <x:c r="A36" s="3"/>
      <x:c r="B36" s="3"/>
      <x:c r="C36" s="3"/>
      <x:c r="D36" s="3"/>
      <x:c r="E36" s="3"/>
      <x:c r="F36" s="3"/>
      <x:c r="G36" s="3"/>
      <x:c r="H36" s="3"/>
      <x:c r="I36" s="3"/>
      <x:c r="J36" s="3"/>
      <x:c r="K36" s="3"/>
      <x:c r="L36" s="3"/>
      <x:c r="M36" s="3"/>
      <x:c r="N36" s="3"/>
      <x:c r="O36" s="3"/>
      <x:c r="P36" s="3"/>
      <x:c r="Q36" s="3"/>
      <x:c r="R36" s="3"/>
    </x:row>
    <x:row r="37" ht="20" customHeight="1">
      <x:c r="A37" s="3"/>
      <x:c r="B37" s="3"/>
      <x:c r="C37" s="3"/>
      <x:c r="D37" s="3"/>
      <x:c r="E37" s="3"/>
      <x:c r="F37" s="3"/>
      <x:c r="G37" s="3"/>
      <x:c r="H37" s="3"/>
      <x:c r="I37" s="3"/>
      <x:c r="J37" s="3"/>
      <x:c r="K37" s="3"/>
      <x:c r="L37" s="3"/>
      <x:c r="M37" s="3"/>
      <x:c r="N37" s="3"/>
      <x:c r="O37" s="3"/>
      <x:c r="P37" s="3"/>
      <x:c r="Q37" s="3"/>
      <x:c r="R37" s="3"/>
    </x:row>
    <x:row r="38" ht="20" customHeight="1">
      <x:c r="A38" s="3"/>
      <x:c r="B38" s="3"/>
      <x:c r="C38" s="3"/>
      <x:c r="D38" s="3"/>
      <x:c r="E38" s="3"/>
      <x:c r="F38" s="3"/>
      <x:c r="G38" s="3"/>
      <x:c r="H38" s="3"/>
      <x:c r="I38" s="3"/>
      <x:c r="J38" s="3"/>
      <x:c r="K38" s="3"/>
      <x:c r="L38" s="3"/>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20" customHeight="1">
      <x:c r="A42" s="3"/>
      <x:c r="B42" s="3"/>
      <x:c r="C42" s="3"/>
      <x:c r="D42" s="3"/>
      <x:c r="E42" s="3"/>
      <x:c r="F42" s="3"/>
      <x:c r="G42" s="3"/>
      <x:c r="H42" s="3"/>
      <x:c r="I42" s="3"/>
      <x:c r="J42" s="3"/>
      <x:c r="K42" s="3"/>
      <x:c r="L42" s="3"/>
      <x:c r="M42" s="3"/>
      <x:c r="N42" s="3"/>
      <x:c r="O42" s="3"/>
      <x:c r="P42" s="3"/>
      <x:c r="Q42" s="3"/>
      <x:c r="R42" s="3"/>
    </x:row>
    <x:row r="43" ht="20" customHeight="1">
      <x:c r="A43" s="3"/>
      <x:c r="B43" s="3"/>
      <x:c r="C43" s="3"/>
      <x:c r="D43" s="3"/>
      <x:c r="E43" s="3"/>
      <x:c r="F43" s="3"/>
      <x:c r="G43" s="3"/>
      <x:c r="H43" s="3"/>
      <x:c r="I43" s="3"/>
      <x:c r="J43" s="3"/>
      <x:c r="K43" s="3"/>
      <x:c r="L43" s="3"/>
      <x:c r="M43" s="3"/>
      <x:c r="N43" s="3"/>
      <x:c r="O43" s="3"/>
      <x:c r="P43" s="3"/>
      <x:c r="Q43" s="3"/>
      <x:c r="R43" s="3"/>
    </x:row>
    <x:row r="44" ht="20" customHeight="1">
      <x:c r="A44" s="3"/>
      <x:c r="B44" s="3"/>
      <x:c r="C44" s="3"/>
      <x:c r="D44" s="3"/>
      <x:c r="E44" s="3"/>
      <x:c r="F44" s="3"/>
      <x:c r="G44" s="3"/>
      <x:c r="H44" s="3"/>
      <x:c r="I44" s="3"/>
      <x:c r="J44" s="3"/>
      <x:c r="K44" s="3"/>
      <x:c r="L44" s="3"/>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3"/>
      <x:c r="B47" s="3"/>
      <x:c r="C47" s="3"/>
      <x:c r="D47" s="3"/>
      <x:c r="E47" s="3"/>
      <x:c r="F47" s="3"/>
      <x:c r="G47" s="3"/>
      <x:c r="H47" s="3"/>
      <x:c r="I47" s="3"/>
      <x:c r="J47" s="3"/>
      <x:c r="K47" s="3"/>
      <x:c r="L47" s="3"/>
      <x:c r="M47" s="3"/>
      <x:c r="N47" s="3"/>
      <x:c r="O47" s="3"/>
      <x:c r="P47" s="3"/>
      <x:c r="Q47" s="3"/>
      <x:c r="R47" s="3"/>
    </x:row>
    <x:row r="48" ht="20" customHeight="1">
      <x:c r="A48" s="3"/>
      <x:c r="B48" s="3"/>
      <x:c r="C48" s="3"/>
      <x:c r="D48" s="3"/>
      <x:c r="E48" s="3"/>
      <x:c r="F48" s="3"/>
      <x:c r="G48" s="3"/>
      <x:c r="H48" s="3"/>
      <x:c r="I48" s="3"/>
      <x:c r="J48" s="3"/>
      <x:c r="K48" s="3"/>
      <x:c r="L48" s="3"/>
      <x:c r="M48" s="3"/>
      <x:c r="N48" s="3"/>
      <x:c r="O48" s="3"/>
      <x:c r="P48" s="3"/>
      <x:c r="Q48" s="3"/>
      <x:c r="R48" s="3"/>
    </x:row>
    <x:row r="49" ht="20" customHeight="1">
      <x:c r="A49" s="3"/>
      <x:c r="B49" s="3"/>
      <x:c r="C49" s="3"/>
      <x:c r="D49" s="3"/>
      <x:c r="E49" s="3"/>
      <x:c r="F49" s="3"/>
      <x:c r="G49" s="3"/>
      <x:c r="H49" s="3"/>
      <x:c r="I49" s="3"/>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S11</x:v>
      </x:c>
      <x:c r="B110" s="34"/>
      <x:c r="C110" s="34"/>
      <x:c r="D110" s="34"/>
      <x:c r="E110" s="34"/>
      <x:c r="F110" s="34"/>
      <x:c r="G110" s="34"/>
      <x:c r="H110" s="34"/>
      <x:c r="I110" s="34"/>
      <x:c r="J110" s="34"/>
      <x:c r="K110" s="34"/>
      <x:c r="L110" s="34"/>
      <x:c r="M110" s="3"/>
      <x:c r="N110" s="3"/>
      <x:c r="O110" s="3"/>
      <x:c r="P110" s="3"/>
      <x:c r="Q110" s="3"/>
      <x:c r="R110" s="3"/>
    </x:row>
    <x:row r="111" ht="20" customHeight="1">
      <x:c r="A111" s="40" t="str">
        <x:v>01  Time comparison</x:v>
      </x:c>
      <x:c r="B111" s="40"/>
      <x:c r="C111" s="40"/>
      <x:c r="D111" s="17" t="str">
        <x:v>State activity, unit and evidence quality.</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Eligible volume</x:v>
      </x:c>
      <x:c r="B117" s="40"/>
      <x:c r="C117" s="40"/>
      <x:c r="D117" s="17" t="str">
        <x:v>Record volume and period assumptions.</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Capacity released</x:v>
      </x:c>
      <x:c r="B123" s="40"/>
      <x:c r="C123" s="40"/>
      <x:c r="D123" s="17" t="str">
        <x:v>Calculate hours with visible units.</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Value and cash mechanism</x:v>
      </x:c>
      <x:c r="B129" s="40"/>
      <x:c r="C129" s="40"/>
      <x:c r="D129" s="17" t="str">
        <x:v>Separate economic valuation from cash saving.</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Costs and sensitivity</x:v>
      </x:c>
      <x:c r="B135" s="40"/>
      <x:c r="C135" s="40"/>
      <x:c r="D135" s="17" t="str">
        <x:v>Record implementation and recurring costs separately.</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Ownership and verification</x:v>
      </x:c>
      <x:c r="B141" s="40"/>
      <x:c r="C141" s="40"/>
      <x:c r="D141" s="17" t="str">
        <x:v>Define how benefit will be checked.</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This is an operational benefits model, not financial advice or an investment appraisal standard. Time multiplied by salary cost is usually capacity value, not cash. Do not monetise safety or fairness casually, and do not claim return on investment from unverified forecasts.</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A06, C06  |  METHOD SOURCES: U02, R03</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 ref="A26:L30"/>
  </x:mergeCells>
  <x:pageMargins left="0.7" right="0.7" top="0.75" bottom="0.75" header="0.3" footer="0.3"/>
</x:worksheet>
</file>

<file path=xl/worksheets/sheet40.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S12  Study workshop and learning decision</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Turn evidence into an explicit, proportionate next step.</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S12</x:v>
      </x:c>
      <x:c r="B9" s="34"/>
      <x:c r="C9" s="34"/>
      <x:c r="D9" s="34"/>
      <x:c r="E9" s="34"/>
      <x:c r="F9" s="34"/>
      <x:c r="G9" s="34"/>
      <x:c r="H9" s="34"/>
      <x:c r="I9" s="34"/>
      <x:c r="J9" s="34"/>
      <x:c r="K9" s="34"/>
      <x:c r="L9" s="34"/>
      <x:c r="M9" s="3"/>
      <x:c r="N9" s="3"/>
      <x:c r="O9" s="3"/>
      <x:c r="P9" s="3"/>
      <x:c r="Q9" s="3"/>
      <x:c r="R9" s="3"/>
    </x:row>
    <x:row r="10" ht="20" customHeight="1">
      <x:c r="A10" s="40" t="str">
        <x:v>01  Purpose and authority</x:v>
      </x:c>
      <x:c r="B10" s="40"/>
      <x:c r="C10" s="40"/>
      <x:c r="D10" s="17" t="str">
        <x:v>State cycle and decision to be informed.</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Evidence pack</x:v>
      </x:c>
      <x:c r="B16" s="40"/>
      <x:c r="C16" s="40"/>
      <x:c r="D16" s="17" t="str">
        <x:v>List the exact records and versions used.</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Findings</x:v>
      </x:c>
      <x:c r="B22" s="40"/>
      <x:c r="C22" s="40"/>
      <x:c r="D22" s="17" t="str">
        <x:v>Record results and fidelity before interpretation.</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Challenge and balancing</x:v>
      </x:c>
      <x:c r="B28" s="40"/>
      <x:c r="C28" s="40"/>
      <x:c r="D28" s="17" t="str">
        <x:v>Record alternative explanations and protected outcomes.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Learning and recommendation</x:v>
      </x:c>
      <x:c r="B34" s="40"/>
      <x:c r="C34" s="40"/>
      <x:c r="D34" s="17" t="str">
        <x:v>State what is supported and what remains open.</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Actions and communication</x:v>
      </x:c>
      <x:c r="B40" s="40"/>
      <x:c r="C40" s="40"/>
      <x:c r="D40" s="17" t="str">
        <x:v>Assign the next record, owner and review.</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Do not let a sponsor request for a green dashboard suppress an adverse result. A workshop vote is not evidence of causation. Where data are insufficient, the legitimate decision is to repair measurement, investigate or run a better test.</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A01, A02, A03  |  METHOD SOURCES: U01, R02, R03</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41.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A01  Adopt, adapt or abandon decision</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Choose the next action from the learning, not from enthusiasm for the original idea.</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A01</x:v>
      </x:c>
      <x:c r="B9" s="34"/>
      <x:c r="C9" s="34"/>
      <x:c r="D9" s="34"/>
      <x:c r="E9" s="34"/>
      <x:c r="F9" s="34"/>
      <x:c r="G9" s="34"/>
      <x:c r="H9" s="34"/>
      <x:c r="I9" s="34"/>
      <x:c r="J9" s="34"/>
      <x:c r="K9" s="34"/>
      <x:c r="L9" s="34"/>
      <x:c r="M9" s="3"/>
      <x:c r="N9" s="3"/>
      <x:c r="O9" s="3"/>
      <x:c r="P9" s="3"/>
      <x:c r="Q9" s="3"/>
      <x:c r="R9" s="3"/>
    </x:row>
    <x:row r="10" ht="20" customHeight="1">
      <x:c r="A10" s="40" t="str">
        <x:v>01  Change and evidence</x:v>
      </x:c>
      <x:c r="B10" s="40"/>
      <x:c r="C10" s="40"/>
      <x:c r="D10" s="17" t="str">
        <x:v>Identify the cycle, version and study record.</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Decision</x:v>
      </x:c>
      <x:c r="B16" s="40"/>
      <x:c r="C16" s="40"/>
      <x:c r="D16" s="17" t="str">
        <x:v>Select adopt, adapt or abandon and define its scope.</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Reasoning</x:v>
      </x:c>
      <x:c r="B22" s="40"/>
      <x:c r="C22" s="40"/>
      <x:c r="D22" s="17" t="str">
        <x:v>Explain evidence, uncertainty and competing explanations.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Conditions and safeguards</x:v>
      </x:c>
      <x:c r="B28" s="40"/>
      <x:c r="C28" s="40"/>
      <x:c r="D28" s="17" t="str">
        <x:v>State what must remain true.</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Authority and ownership</x:v>
      </x:c>
      <x:c r="B34" s="40"/>
      <x:c r="C34" s="40"/>
      <x:c r="D34" s="17" t="str">
        <x:v>Identify who approves and who carries the action.</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Next action and review</x:v>
      </x:c>
      <x:c r="B40" s="40"/>
      <x:c r="C40" s="40"/>
      <x:c r="D40" s="17" t="str">
        <x:v>Specify the next learning question and date trigger.</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No favourable average can override an unresolved serious safety or privacy concern. Do not use a numerical score to cancel a mandatory safeguard. A decision can legitimately be to pause while evidence or authority is obtained.</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A02, A03, A08  |  METHOD SOURCES: U01, R02, R35</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42.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A02  Next-cycle design and learning ladder</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Turn one cycle's learning into a better, deliberately different next test.</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A02</x:v>
      </x:c>
      <x:c r="B9" s="34"/>
      <x:c r="C9" s="34"/>
      <x:c r="D9" s="34"/>
      <x:c r="E9" s="34"/>
      <x:c r="F9" s="34"/>
      <x:c r="G9" s="34"/>
      <x:c r="H9" s="34"/>
      <x:c r="I9" s="34"/>
      <x:c r="J9" s="34"/>
      <x:c r="K9" s="34"/>
      <x:c r="L9" s="34"/>
      <x:c r="M9" s="3"/>
      <x:c r="N9" s="3"/>
      <x:c r="O9" s="3"/>
      <x:c r="P9" s="3"/>
      <x:c r="Q9" s="3"/>
      <x:c r="R9" s="3"/>
    </x:row>
    <x:row r="10" ht="20" customHeight="1">
      <x:c r="A10" s="40" t="str">
        <x:v>01  Previous learning</x:v>
      </x:c>
      <x:c r="B10" s="40"/>
      <x:c r="C10" s="40"/>
      <x:c r="D10" s="17" t="str">
        <x:v>State the cycle and unresolved question.</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Next question</x:v>
      </x:c>
      <x:c r="B16" s="40"/>
      <x:c r="C16" s="40"/>
      <x:c r="D16" s="17" t="str">
        <x:v>Select the uncertainty this cycle will address.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Change and constants</x:v>
      </x:c>
      <x:c r="B22" s="40"/>
      <x:c r="C22" s="40"/>
      <x:c r="D22" s="17" t="str">
        <x:v>Separate the variation from the retained method.</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Prediction</x:v>
      </x:c>
      <x:c r="B28" s="40"/>
      <x:c r="C28" s="40"/>
      <x:c r="D28" s="17" t="str">
        <x:v>State expected observations before the test.</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Test design</x:v>
      </x:c>
      <x:c r="B34" s="40"/>
      <x:c r="C34" s="40"/>
      <x:c r="D34" s="17" t="str">
        <x:v>Specify sample, place, responsibility and data.</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Review and progression</x:v>
      </x:c>
      <x:c r="B40" s="40"/>
      <x:c r="C40" s="40"/>
      <x:c r="D40" s="17" t="str">
        <x:v>Define how the learning changes the next decision.</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Parallel cycles can interact through shared staff, queues or systems. Record those interactions. Do not run several uncoordinated changes and later attribute the whole difference to a single component.</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P13, P14, D01, A03  |  METHOD SOURCES: U01, R02, R04</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43.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A03  Implementation-readiness review</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Check whether the tested method can be supported as normal work.</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A03</x:v>
      </x:c>
      <x:c r="B9" s="34"/>
      <x:c r="C9" s="34"/>
      <x:c r="D9" s="34"/>
      <x:c r="E9" s="34"/>
      <x:c r="F9" s="34"/>
      <x:c r="G9" s="34"/>
      <x:c r="H9" s="34"/>
      <x:c r="I9" s="34"/>
      <x:c r="J9" s="34"/>
      <x:c r="K9" s="34"/>
      <x:c r="L9" s="34"/>
      <x:c r="M9" s="3"/>
      <x:c r="N9" s="3"/>
      <x:c r="O9" s="3"/>
      <x:c r="P9" s="3"/>
      <x:c r="Q9" s="3"/>
      <x:c r="R9" s="3"/>
    </x:row>
    <x:row r="10" ht="20" customHeight="1">
      <x:c r="A10" s="40" t="str">
        <x:v>01  Evidence of reliability</x:v>
      </x:c>
      <x:c r="B10" s="40"/>
      <x:c r="C10" s="40"/>
      <x:c r="D10" s="17" t="str">
        <x:v>Summarise tests across relevant conditions.</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People and capability</x:v>
      </x:c>
      <x:c r="B16" s="40"/>
      <x:c r="C16" s="40"/>
      <x:c r="D16" s="17" t="str">
        <x:v>Verify training, cover and exception competence.</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Process and technology</x:v>
      </x:c>
      <x:c r="B22" s="40"/>
      <x:c r="C22" s="40"/>
      <x:c r="D22" s="17" t="str">
        <x:v>Confirm the maintained standard and support.</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Controls and assurance</x:v>
      </x:c>
      <x:c r="B28" s="40"/>
      <x:c r="C28" s="40"/>
      <x:c r="D28" s="17" t="str">
        <x:v>Check mandatory requirements and approval.</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Monitoring and response</x:v>
      </x:c>
      <x:c r="B34" s="40"/>
      <x:c r="C34" s="40"/>
      <x:c r="D34" s="17" t="str">
        <x:v>Agree measures, thresholds and escalation.</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Decision and conditions</x:v>
      </x:c>
      <x:c r="B40" s="40"/>
      <x:c r="C40" s="40"/>
      <x:c r="D40" s="17" t="str">
        <x:v>Record ready, conditional or not ready.</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A high readiness score is not permission to proceed when a mandatory control is not ready. Conditional approval requires a named authority, explicit limits and a closure date; it is not an indefinite waiver.</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A04, A05, A07  |  METHOD SOURCES: R35, R36</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44.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A04  Spread and local-adaptation plan</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Transfer the learning with its conditions, not just the form.</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A04</x:v>
      </x:c>
      <x:c r="B9" s="34"/>
      <x:c r="C9" s="34"/>
      <x:c r="D9" s="34"/>
      <x:c r="E9" s="34"/>
      <x:c r="F9" s="34"/>
      <x:c r="G9" s="34"/>
      <x:c r="H9" s="34"/>
      <x:c r="I9" s="34"/>
      <x:c r="J9" s="34"/>
      <x:c r="K9" s="34"/>
      <x:c r="L9" s="34"/>
      <x:c r="M9" s="3"/>
      <x:c r="N9" s="3"/>
      <x:c r="O9" s="3"/>
      <x:c r="P9" s="3"/>
      <x:c r="Q9" s="3"/>
      <x:c r="R9" s="3"/>
    </x:row>
    <x:row r="10" ht="20" customHeight="1">
      <x:c r="A10" s="40" t="str">
        <x:v>01  Source change</x:v>
      </x:c>
      <x:c r="B10" s="40"/>
      <x:c r="C10" s="40"/>
      <x:c r="D10" s="17" t="str">
        <x:v>State the method and evidence being transferred.</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Core and adaptable elements</x:v>
      </x:c>
      <x:c r="B16" s="40"/>
      <x:c r="C16" s="40"/>
      <x:c r="D16" s="17" t="str">
        <x:v>Identify controls and permissible variation.</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Receiving context</x:v>
      </x:c>
      <x:c r="B22" s="40"/>
      <x:c r="C22" s="40"/>
      <x:c r="D22" s="17" t="str">
        <x:v>Record local differences and implications.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Local tests and support</x:v>
      </x:c>
      <x:c r="B28" s="40"/>
      <x:c r="C28" s="40"/>
      <x:c r="D28" s="17" t="str">
        <x:v>Plan small tests and practical help.</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Measures and feedback</x:v>
      </x:c>
      <x:c r="B34" s="40"/>
      <x:c r="C34" s="40"/>
      <x:c r="D34" s="17" t="str">
        <x:v>Define shared definitions and review.</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Authority and sequence</x:v>
      </x:c>
      <x:c r="B40" s="40"/>
      <x:c r="C40" s="40"/>
      <x:c r="D40" s="17" t="str">
        <x:v>Record scope, milestones and approval.</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Spread is not copying a percentage improvement into another site's business case. Use local baselines and recognise different case mix and capacity. Do not remove assisted routes to make implementation appear uniform.</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P13, A05, A07  |  METHOD SOURCES: R36, U01</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45.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A05  Control plan and response rules</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Keep the improved process under active ownership after the test ends.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A05</x:v>
      </x:c>
      <x:c r="B9" s="34"/>
      <x:c r="C9" s="34"/>
      <x:c r="D9" s="34"/>
      <x:c r="E9" s="34"/>
      <x:c r="F9" s="34"/>
      <x:c r="G9" s="34"/>
      <x:c r="H9" s="34"/>
      <x:c r="I9" s="34"/>
      <x:c r="J9" s="34"/>
      <x:c r="K9" s="34"/>
      <x:c r="L9" s="34"/>
      <x:c r="M9" s="3"/>
      <x:c r="N9" s="3"/>
      <x:c r="O9" s="3"/>
      <x:c r="P9" s="3"/>
      <x:c r="Q9" s="3"/>
      <x:c r="R9" s="3"/>
    </x:row>
    <x:row r="10" ht="20" customHeight="1">
      <x:c r="A10" s="40" t="str">
        <x:v>01  Requirement and measure</x:v>
      </x:c>
      <x:c r="B10" s="40"/>
      <x:c r="C10" s="40"/>
      <x:c r="D10" s="17" t="str">
        <x:v>Define what must be maintained.</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Definition and source</x:v>
      </x:c>
      <x:c r="B16" s="40"/>
      <x:c r="C16" s="40"/>
      <x:c r="D16" s="17" t="str">
        <x:v>Link to stable operational definitions.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Frequency and ownership</x:v>
      </x:c>
      <x:c r="B22" s="40"/>
      <x:c r="C22" s="40"/>
      <x:c r="D22" s="17" t="str">
        <x:v>State collection and review responsibilities.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Trigger and classification</x:v>
      </x:c>
      <x:c r="B28" s="40"/>
      <x:c r="C28" s="40"/>
      <x:c r="D28" s="17" t="str">
        <x:v>Separate target, signal and immediate stop.</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Response and escalation</x:v>
      </x:c>
      <x:c r="B34" s="40"/>
      <x:c r="C34" s="40"/>
      <x:c r="D34" s="17" t="str">
        <x:v>Specify the action and authority.</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Review and revision</x:v>
      </x:c>
      <x:c r="B40" s="40"/>
      <x:c r="C40" s="40"/>
      <x:c r="D40" s="17" t="str">
        <x:v>Maintain the standard and plan.</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Control limits are calculated from a suitable process baseline; targets are desired performance. Do not relabel a target as an SPC limit. Never wait for a monthly dashboard to escalate an individual serious incident.</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A07, C01, C04, L06  |  METHOD SOURCES: U02, R03, R35</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4" t="str">
        <x:v>LIVE WORKING REGISTER | Add evidence, ownership and a review date.</x:v>
      </x:c>
      <x:c r="B53" s="34"/>
      <x:c r="C53" s="34"/>
      <x:c r="D53" s="34"/>
      <x:c r="E53" s="34"/>
      <x:c r="F53" s="34"/>
      <x:c r="G53" s="34"/>
      <x:c r="H53" s="34"/>
      <x:c r="I53" s="34"/>
      <x:c r="J53" s="34"/>
      <x:c r="K53" s="34"/>
      <x:c r="L53" s="34"/>
      <x:c r="M53" s="3"/>
      <x:c r="N53" s="3"/>
      <x:c r="O53" s="3"/>
      <x:c r="P53" s="3"/>
      <x:c r="Q53" s="3"/>
      <x:c r="R53" s="3"/>
    </x:row>
    <x:row r="54" ht="20" customHeight="1">
      <x:c r="A54" s="34"/>
      <x:c r="B54" s="34"/>
      <x:c r="C54" s="34"/>
      <x:c r="D54" s="34"/>
      <x:c r="E54" s="34"/>
      <x:c r="F54" s="34"/>
      <x:c r="G54" s="34"/>
      <x:c r="H54" s="34"/>
      <x:c r="I54" s="34"/>
      <x:c r="J54" s="34"/>
      <x:c r="K54" s="34"/>
      <x:c r="L54" s="34"/>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38" customHeight="1">
      <x:c r="A56" s="77" t="str">
        <x:v>Process measure</x:v>
      </x:c>
      <x:c r="B56" s="77" t="str">
        <x:v>Definition and source</x:v>
      </x:c>
      <x:c r="C56" s="77" t="str">
        <x:v>Review frequency</x:v>
      </x:c>
      <x:c r="D56" s="77" t="str">
        <x:v>Owner/cover</x:v>
      </x:c>
      <x:c r="E56" s="77" t="str">
        <x:v>Trigger</x:v>
      </x:c>
      <x:c r="F56" s="77" t="str">
        <x:v>Immediate response</x:v>
      </x:c>
      <x:c r="G56" s="77" t="str">
        <x:v>Escalation</x:v>
      </x:c>
      <x:c r="H56" s="77" t="str">
        <x:v>Record location</x:v>
      </x:c>
      <x:c r="I56" s="3"/>
      <x:c r="J56" s="3"/>
      <x:c r="K56" s="3"/>
      <x:c r="L56" s="3"/>
      <x:c r="M56" s="3"/>
      <x:c r="N56" s="3"/>
      <x:c r="O56" s="3"/>
      <x:c r="P56" s="3"/>
      <x:c r="Q56" s="3"/>
      <x:c r="R56" s="3"/>
    </x:row>
    <x:row r="57" ht="34" customHeight="1">
      <x:c r="A57" s="46"/>
      <x:c r="B57" s="46"/>
      <x:c r="C57" s="46"/>
      <x:c r="D57" s="46"/>
      <x:c r="E57" s="46"/>
      <x:c r="F57" s="46"/>
      <x:c r="G57" s="46"/>
      <x:c r="H57" s="46"/>
      <x:c r="I57" s="3"/>
      <x:c r="J57" s="3"/>
      <x:c r="K57" s="3"/>
      <x:c r="L57" s="3"/>
      <x:c r="M57" s="3"/>
      <x:c r="N57" s="3"/>
      <x:c r="O57" s="3"/>
      <x:c r="P57" s="3"/>
      <x:c r="Q57" s="3"/>
      <x:c r="R57" s="3"/>
    </x:row>
    <x:row r="58" ht="34" customHeight="1">
      <x:c r="A58" s="46"/>
      <x:c r="B58" s="46"/>
      <x:c r="C58" s="46"/>
      <x:c r="D58" s="46"/>
      <x:c r="E58" s="46"/>
      <x:c r="F58" s="46"/>
      <x:c r="G58" s="46"/>
      <x:c r="H58" s="46"/>
      <x:c r="I58" s="3"/>
      <x:c r="J58" s="3"/>
      <x:c r="K58" s="3"/>
      <x:c r="L58" s="3"/>
      <x:c r="M58" s="3"/>
      <x:c r="N58" s="3"/>
      <x:c r="O58" s="3"/>
      <x:c r="P58" s="3"/>
      <x:c r="Q58" s="3"/>
      <x:c r="R58" s="3"/>
    </x:row>
    <x:row r="59" ht="34" customHeight="1">
      <x:c r="A59" s="46"/>
      <x:c r="B59" s="46"/>
      <x:c r="C59" s="46"/>
      <x:c r="D59" s="46"/>
      <x:c r="E59" s="46"/>
      <x:c r="F59" s="46"/>
      <x:c r="G59" s="46"/>
      <x:c r="H59" s="46"/>
      <x:c r="I59" s="3"/>
      <x:c r="J59" s="3"/>
      <x:c r="K59" s="3"/>
      <x:c r="L59" s="3"/>
      <x:c r="M59" s="3"/>
      <x:c r="N59" s="3"/>
      <x:c r="O59" s="3"/>
      <x:c r="P59" s="3"/>
      <x:c r="Q59" s="3"/>
      <x:c r="R59" s="3"/>
    </x:row>
    <x:row r="60" ht="34" customHeight="1">
      <x:c r="A60" s="46"/>
      <x:c r="B60" s="46"/>
      <x:c r="C60" s="46"/>
      <x:c r="D60" s="46"/>
      <x:c r="E60" s="46"/>
      <x:c r="F60" s="46"/>
      <x:c r="G60" s="46"/>
      <x:c r="H60" s="46"/>
      <x:c r="I60" s="3"/>
      <x:c r="J60" s="3"/>
      <x:c r="K60" s="3"/>
      <x:c r="L60" s="3"/>
      <x:c r="M60" s="3"/>
      <x:c r="N60" s="3"/>
      <x:c r="O60" s="3"/>
      <x:c r="P60" s="3"/>
      <x:c r="Q60" s="3"/>
      <x:c r="R60" s="3"/>
    </x:row>
    <x:row r="61" ht="34" customHeight="1">
      <x:c r="A61" s="46"/>
      <x:c r="B61" s="46"/>
      <x:c r="C61" s="46"/>
      <x:c r="D61" s="46"/>
      <x:c r="E61" s="46"/>
      <x:c r="F61" s="46"/>
      <x:c r="G61" s="46"/>
      <x:c r="H61" s="46"/>
      <x:c r="I61" s="3"/>
      <x:c r="J61" s="3"/>
      <x:c r="K61" s="3"/>
      <x:c r="L61" s="3"/>
      <x:c r="M61" s="3"/>
      <x:c r="N61" s="3"/>
      <x:c r="O61" s="3"/>
      <x:c r="P61" s="3"/>
      <x:c r="Q61" s="3"/>
      <x:c r="R61" s="3"/>
    </x:row>
    <x:row r="62" ht="34" customHeight="1">
      <x:c r="A62" s="46"/>
      <x:c r="B62" s="46"/>
      <x:c r="C62" s="46"/>
      <x:c r="D62" s="46"/>
      <x:c r="E62" s="46"/>
      <x:c r="F62" s="46"/>
      <x:c r="G62" s="46"/>
      <x:c r="H62" s="46"/>
      <x:c r="I62" s="3"/>
      <x:c r="J62" s="3"/>
      <x:c r="K62" s="3"/>
      <x:c r="L62" s="3"/>
      <x:c r="M62" s="3"/>
      <x:c r="N62" s="3"/>
      <x:c r="O62" s="3"/>
      <x:c r="P62" s="3"/>
      <x:c r="Q62" s="3"/>
      <x:c r="R62" s="3"/>
    </x:row>
    <x:row r="63" ht="34" customHeight="1">
      <x:c r="A63" s="46"/>
      <x:c r="B63" s="46"/>
      <x:c r="C63" s="46"/>
      <x:c r="D63" s="46"/>
      <x:c r="E63" s="46"/>
      <x:c r="F63" s="46"/>
      <x:c r="G63" s="46"/>
      <x:c r="H63" s="46"/>
      <x:c r="I63" s="3"/>
      <x:c r="J63" s="3"/>
      <x:c r="K63" s="3"/>
      <x:c r="L63" s="3"/>
      <x:c r="M63" s="3"/>
      <x:c r="N63" s="3"/>
      <x:c r="O63" s="3"/>
      <x:c r="P63" s="3"/>
      <x:c r="Q63" s="3"/>
      <x:c r="R63" s="3"/>
    </x:row>
    <x:row r="64" ht="34" customHeight="1">
      <x:c r="A64" s="46"/>
      <x:c r="B64" s="46"/>
      <x:c r="C64" s="46"/>
      <x:c r="D64" s="46"/>
      <x:c r="E64" s="46"/>
      <x:c r="F64" s="46"/>
      <x:c r="G64" s="46"/>
      <x:c r="H64" s="46"/>
      <x:c r="I64" s="3"/>
      <x:c r="J64" s="3"/>
      <x:c r="K64" s="3"/>
      <x:c r="L64" s="3"/>
      <x:c r="M64" s="3"/>
      <x:c r="N64" s="3"/>
      <x:c r="O64" s="3"/>
      <x:c r="P64" s="3"/>
      <x:c r="Q64" s="3"/>
      <x:c r="R64" s="3"/>
    </x:row>
    <x:row r="65" ht="34" customHeight="1">
      <x:c r="A65" s="46"/>
      <x:c r="B65" s="46"/>
      <x:c r="C65" s="46"/>
      <x:c r="D65" s="46"/>
      <x:c r="E65" s="46"/>
      <x:c r="F65" s="46"/>
      <x:c r="G65" s="46"/>
      <x:c r="H65" s="46"/>
      <x:c r="I65" s="3"/>
      <x:c r="J65" s="3"/>
      <x:c r="K65" s="3"/>
      <x:c r="L65" s="3"/>
      <x:c r="M65" s="3"/>
      <x:c r="N65" s="3"/>
      <x:c r="O65" s="3"/>
      <x:c r="P65" s="3"/>
      <x:c r="Q65" s="3"/>
      <x:c r="R65" s="3"/>
    </x:row>
    <x:row r="66" ht="34" customHeight="1">
      <x:c r="A66" s="46"/>
      <x:c r="B66" s="46"/>
      <x:c r="C66" s="46"/>
      <x:c r="D66" s="46"/>
      <x:c r="E66" s="46"/>
      <x:c r="F66" s="46"/>
      <x:c r="G66" s="46"/>
      <x:c r="H66" s="46"/>
      <x:c r="I66" s="3"/>
      <x:c r="J66" s="3"/>
      <x:c r="K66" s="3"/>
      <x:c r="L66" s="3"/>
      <x:c r="M66" s="3"/>
      <x:c r="N66" s="3"/>
      <x:c r="O66" s="3"/>
      <x:c r="P66" s="3"/>
      <x:c r="Q66" s="3"/>
      <x:c r="R66" s="3"/>
    </x:row>
    <x:row r="67" ht="34" customHeight="1">
      <x:c r="A67" s="46"/>
      <x:c r="B67" s="46"/>
      <x:c r="C67" s="46"/>
      <x:c r="D67" s="46"/>
      <x:c r="E67" s="46"/>
      <x:c r="F67" s="46"/>
      <x:c r="G67" s="46"/>
      <x:c r="H67" s="46"/>
      <x:c r="I67" s="3"/>
      <x:c r="J67" s="3"/>
      <x:c r="K67" s="3"/>
      <x:c r="L67" s="3"/>
      <x:c r="M67" s="3"/>
      <x:c r="N67" s="3"/>
      <x:c r="O67" s="3"/>
      <x:c r="P67" s="3"/>
      <x:c r="Q67" s="3"/>
      <x:c r="R67" s="3"/>
    </x:row>
    <x:row r="68" ht="34" customHeight="1">
      <x:c r="A68" s="46"/>
      <x:c r="B68" s="46"/>
      <x:c r="C68" s="46"/>
      <x:c r="D68" s="46"/>
      <x:c r="E68" s="46"/>
      <x:c r="F68" s="46"/>
      <x:c r="G68" s="46"/>
      <x:c r="H68" s="46"/>
      <x:c r="I68" s="3"/>
      <x:c r="J68" s="3"/>
      <x:c r="K68" s="3"/>
      <x:c r="L68" s="3"/>
      <x:c r="M68" s="3"/>
      <x:c r="N68" s="3"/>
      <x:c r="O68" s="3"/>
      <x:c r="P68" s="3"/>
      <x:c r="Q68" s="3"/>
      <x:c r="R68" s="3"/>
    </x:row>
    <x:row r="69" ht="34" customHeight="1">
      <x:c r="A69" s="46"/>
      <x:c r="B69" s="46"/>
      <x:c r="C69" s="46"/>
      <x:c r="D69" s="46"/>
      <x:c r="E69" s="46"/>
      <x:c r="F69" s="46"/>
      <x:c r="G69" s="46"/>
      <x:c r="H69" s="46"/>
      <x:c r="I69" s="3"/>
      <x:c r="J69" s="3"/>
      <x:c r="K69" s="3"/>
      <x:c r="L69" s="3"/>
      <x:c r="M69" s="3"/>
      <x:c r="N69" s="3"/>
      <x:c r="O69" s="3"/>
      <x:c r="P69" s="3"/>
      <x:c r="Q69" s="3"/>
      <x:c r="R69" s="3"/>
    </x:row>
    <x:row r="70" ht="34" customHeight="1">
      <x:c r="A70" s="46"/>
      <x:c r="B70" s="46"/>
      <x:c r="C70" s="46"/>
      <x:c r="D70" s="46"/>
      <x:c r="E70" s="46"/>
      <x:c r="F70" s="46"/>
      <x:c r="G70" s="46"/>
      <x:c r="H70" s="46"/>
      <x:c r="I70" s="3"/>
      <x:c r="J70" s="3"/>
      <x:c r="K70" s="3"/>
      <x:c r="L70" s="3"/>
      <x:c r="M70" s="3"/>
      <x:c r="N70" s="3"/>
      <x:c r="O70" s="3"/>
      <x:c r="P70" s="3"/>
      <x:c r="Q70" s="3"/>
      <x:c r="R70" s="3"/>
    </x:row>
    <x:row r="71" ht="34" customHeight="1">
      <x:c r="A71" s="46"/>
      <x:c r="B71" s="46"/>
      <x:c r="C71" s="46"/>
      <x:c r="D71" s="46"/>
      <x:c r="E71" s="46"/>
      <x:c r="F71" s="46"/>
      <x:c r="G71" s="46"/>
      <x:c r="H71" s="46"/>
      <x:c r="I71" s="3"/>
      <x:c r="J71" s="3"/>
      <x:c r="K71" s="3"/>
      <x:c r="L71" s="3"/>
      <x:c r="M71" s="3"/>
      <x:c r="N71" s="3"/>
      <x:c r="O71" s="3"/>
      <x:c r="P71" s="3"/>
      <x:c r="Q71" s="3"/>
      <x:c r="R71" s="3"/>
    </x:row>
    <x:row r="72" ht="34" customHeight="1">
      <x:c r="A72" s="46"/>
      <x:c r="B72" s="46"/>
      <x:c r="C72" s="46"/>
      <x:c r="D72" s="46"/>
      <x:c r="E72" s="46"/>
      <x:c r="F72" s="46"/>
      <x:c r="G72" s="46"/>
      <x:c r="H72" s="46"/>
      <x:c r="I72" s="3"/>
      <x:c r="J72" s="3"/>
      <x:c r="K72" s="3"/>
      <x:c r="L72" s="3"/>
      <x:c r="M72" s="3"/>
      <x:c r="N72" s="3"/>
      <x:c r="O72" s="3"/>
      <x:c r="P72" s="3"/>
      <x:c r="Q72" s="3"/>
      <x:c r="R72" s="3"/>
    </x:row>
    <x:row r="73" ht="34" customHeight="1">
      <x:c r="A73" s="46"/>
      <x:c r="B73" s="46"/>
      <x:c r="C73" s="46"/>
      <x:c r="D73" s="46"/>
      <x:c r="E73" s="46"/>
      <x:c r="F73" s="46"/>
      <x:c r="G73" s="46"/>
      <x:c r="H73" s="46"/>
      <x:c r="I73" s="3"/>
      <x:c r="J73" s="3"/>
      <x:c r="K73" s="3"/>
      <x:c r="L73" s="3"/>
      <x:c r="M73" s="3"/>
      <x:c r="N73" s="3"/>
      <x:c r="O73" s="3"/>
      <x:c r="P73" s="3"/>
      <x:c r="Q73" s="3"/>
      <x:c r="R73" s="3"/>
    </x:row>
    <x:row r="74" ht="34" customHeight="1">
      <x:c r="A74" s="46"/>
      <x:c r="B74" s="46"/>
      <x:c r="C74" s="46"/>
      <x:c r="D74" s="46"/>
      <x:c r="E74" s="46"/>
      <x:c r="F74" s="46"/>
      <x:c r="G74" s="46"/>
      <x:c r="H74" s="46"/>
      <x:c r="I74" s="3"/>
      <x:c r="J74" s="3"/>
      <x:c r="K74" s="3"/>
      <x:c r="L74" s="3"/>
      <x:c r="M74" s="3"/>
      <x:c r="N74" s="3"/>
      <x:c r="O74" s="3"/>
      <x:c r="P74" s="3"/>
      <x:c r="Q74" s="3"/>
      <x:c r="R74" s="3"/>
    </x:row>
    <x:row r="75" ht="34" customHeight="1">
      <x:c r="A75" s="46"/>
      <x:c r="B75" s="46"/>
      <x:c r="C75" s="46"/>
      <x:c r="D75" s="46"/>
      <x:c r="E75" s="46"/>
      <x:c r="F75" s="46"/>
      <x:c r="G75" s="46"/>
      <x:c r="H75" s="46"/>
      <x:c r="I75" s="3"/>
      <x:c r="J75" s="3"/>
      <x:c r="K75" s="3"/>
      <x:c r="L75" s="3"/>
      <x:c r="M75" s="3"/>
      <x:c r="N75" s="3"/>
      <x:c r="O75" s="3"/>
      <x:c r="P75" s="3"/>
      <x:c r="Q75" s="3"/>
      <x:c r="R75" s="3"/>
    </x:row>
    <x:row r="76" ht="34" customHeight="1">
      <x:c r="A76" s="46"/>
      <x:c r="B76" s="46"/>
      <x:c r="C76" s="46"/>
      <x:c r="D76" s="46"/>
      <x:c r="E76" s="46"/>
      <x:c r="F76" s="46"/>
      <x:c r="G76" s="46"/>
      <x:c r="H76" s="46"/>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136" t="str">
        <x:v>Record facts separately from hypotheses. A populated row is not approval: keep the decision authority and supporting evidence explicit. Review access controls before entering identifiable or sensitive information.</x:v>
      </x:c>
      <x:c r="B79" s="136"/>
      <x:c r="C79" s="136"/>
      <x:c r="D79" s="136"/>
      <x:c r="E79" s="136"/>
      <x:c r="F79" s="136"/>
      <x:c r="G79" s="136"/>
      <x:c r="H79" s="136"/>
      <x:c r="I79" s="136"/>
      <x:c r="J79" s="136"/>
      <x:c r="K79" s="136"/>
      <x:c r="L79" s="136"/>
      <x:c r="M79" s="3"/>
      <x:c r="N79" s="3"/>
      <x:c r="O79" s="3"/>
      <x:c r="P79" s="3"/>
      <x:c r="Q79" s="3"/>
      <x:c r="R79" s="3"/>
    </x:row>
    <x:row r="80" ht="20" customHeight="1">
      <x:c r="A80" s="136"/>
      <x:c r="B80" s="136"/>
      <x:c r="C80" s="136"/>
      <x:c r="D80" s="136"/>
      <x:c r="E80" s="136"/>
      <x:c r="F80" s="136"/>
      <x:c r="G80" s="136"/>
      <x:c r="H80" s="136"/>
      <x:c r="I80" s="136"/>
      <x:c r="J80" s="136"/>
      <x:c r="K80" s="136"/>
      <x:c r="L80" s="136"/>
      <x:c r="M80" s="3"/>
      <x:c r="N80" s="3"/>
      <x:c r="O80" s="3"/>
      <x:c r="P80" s="3"/>
      <x:c r="Q80" s="3"/>
      <x:c r="R80" s="3"/>
    </x:row>
    <x:row r="81" ht="20" customHeight="1">
      <x:c r="A81" s="136"/>
      <x:c r="B81" s="136"/>
      <x:c r="C81" s="136"/>
      <x:c r="D81" s="136"/>
      <x:c r="E81" s="136"/>
      <x:c r="F81" s="136"/>
      <x:c r="G81" s="136"/>
      <x:c r="H81" s="136"/>
      <x:c r="I81" s="136"/>
      <x:c r="J81" s="136"/>
      <x:c r="K81" s="136"/>
      <x:c r="L81" s="136"/>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 ref="A53:L54"/>
    <x:mergeCell ref="A79:L81"/>
  </x:mergeCells>
  <x:pageMargins left="0.7" right="0.7" top="0.75" bottom="0.75" header="0.3" footer="0.3"/>
</x:worksheet>
</file>

<file path=xl/worksheets/sheet46.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5" hidden="0" customWidth="1"/>
    <x:col min="2" max="2" width="38" hidden="0" customWidth="1"/>
    <x:col min="3" max="3" width="24" hidden="0" customWidth="1"/>
    <x:col min="4" max="4" width="30" hidden="0" customWidth="1"/>
    <x:col min="5" max="5" width="30" hidden="0" customWidth="1"/>
    <x:col min="6" max="6" width="48" hidden="0" customWidth="1"/>
    <x:col min="7" max="7" width="18" hidden="0" customWidth="1"/>
    <x:col min="8" max="8" width="20"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A06  Benefits, capacity and cost register</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Separate measured service gains from released capacity and genuine cash effects.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0" customHeight="1">
      <x:c r="A9" s="3"/>
      <x:c r="B9" s="3"/>
      <x:c r="C9" s="3"/>
      <x:c r="D9" s="3"/>
      <x:c r="E9" s="3"/>
      <x:c r="F9" s="3"/>
      <x:c r="G9" s="3"/>
      <x:c r="H9" s="3"/>
      <x:c r="I9" s="3"/>
      <x:c r="J9" s="3"/>
      <x:c r="K9" s="3"/>
      <x:c r="L9" s="3"/>
      <x:c r="M9" s="3"/>
      <x:c r="N9" s="3"/>
      <x:c r="O9" s="3"/>
      <x:c r="P9" s="3"/>
      <x:c r="Q9" s="3"/>
      <x:c r="R9" s="3"/>
    </x:row>
    <x:row r="10" ht="34" customHeight="1">
      <x:c r="A10" s="95" t="str">
        <x:v>Touch minutes before</x:v>
      </x:c>
      <x:c r="B10" s="98"/>
      <x:c r="C10" s="66" t="str">
        <x:v>Measured or stated assumption</x:v>
      </x:c>
      <x:c r="D10" s="3"/>
      <x:c r="E10" s="3"/>
      <x:c r="F10" s="3"/>
      <x:c r="G10" s="3"/>
      <x:c r="H10" s="3"/>
      <x:c r="I10" s="3"/>
      <x:c r="J10" s="3"/>
      <x:c r="K10" s="3"/>
      <x:c r="L10" s="3"/>
      <x:c r="M10" s="3"/>
      <x:c r="N10" s="3"/>
      <x:c r="O10" s="3"/>
      <x:c r="P10" s="3"/>
      <x:c r="Q10" s="3"/>
      <x:c r="R10" s="3"/>
    </x:row>
    <x:row r="11" ht="34" customHeight="1">
      <x:c r="A11" s="95" t="str">
        <x:v>Touch minutes after</x:v>
      </x:c>
      <x:c r="B11" s="98"/>
      <x:c r="C11" s="66" t="str">
        <x:v>Measured or stated assumption</x:v>
      </x:c>
      <x:c r="D11" s="3"/>
      <x:c r="E11" s="3"/>
      <x:c r="F11" s="3"/>
      <x:c r="G11" s="3"/>
      <x:c r="H11" s="3"/>
      <x:c r="I11" s="3"/>
      <x:c r="J11" s="3"/>
      <x:c r="K11" s="3"/>
      <x:c r="L11" s="3"/>
      <x:c r="M11" s="3"/>
      <x:c r="N11" s="3"/>
      <x:c r="O11" s="3"/>
      <x:c r="P11" s="3"/>
      <x:c r="Q11" s="3"/>
      <x:c r="R11" s="3"/>
    </x:row>
    <x:row r="12" ht="34" customHeight="1">
      <x:c r="A12" s="95" t="str">
        <x:v>Eligible requests / month</x:v>
      </x:c>
      <x:c r="B12" s="98"/>
      <x:c r="C12" s="66" t="str">
        <x:v>Use comparable volume; no automatic extrapolation</x:v>
      </x:c>
      <x:c r="D12" s="3"/>
      <x:c r="E12" s="3"/>
      <x:c r="F12" s="3"/>
      <x:c r="G12" s="3"/>
      <x:c r="H12" s="3"/>
      <x:c r="I12" s="3"/>
      <x:c r="J12" s="3"/>
      <x:c r="K12" s="3"/>
      <x:c r="L12" s="3"/>
      <x:c r="M12" s="3"/>
      <x:c r="N12" s="3"/>
      <x:c r="O12" s="3"/>
      <x:c r="P12" s="3"/>
      <x:c r="Q12" s="3"/>
      <x:c r="R12" s="3"/>
    </x:row>
    <x:row r="13" ht="34" customHeight="1">
      <x:c r="A13" s="95" t="str">
        <x:v>Months in scenario</x:v>
      </x:c>
      <x:c r="B13" s="98"/>
      <x:c r="C13" s="66" t="str">
        <x:v>Enter duration, normally 12 for an annual scenario</x:v>
      </x:c>
      <x:c r="D13" s="3"/>
      <x:c r="E13" s="3"/>
      <x:c r="F13" s="3"/>
      <x:c r="G13" s="3"/>
      <x:c r="H13" s="3"/>
      <x:c r="I13" s="3"/>
      <x:c r="J13" s="3"/>
      <x:c r="K13" s="3"/>
      <x:c r="L13" s="3"/>
      <x:c r="M13" s="3"/>
      <x:c r="N13" s="3"/>
      <x:c r="O13" s="3"/>
      <x:c r="P13" s="3"/>
      <x:c r="Q13" s="3"/>
      <x:c r="R13" s="3"/>
    </x:row>
    <x:row r="14" ht="34" customHeight="1">
      <x:c r="A14" s="95" t="str">
        <x:v>Assumed value / hour</x:v>
      </x:c>
      <x:c r="B14" s="98"/>
      <x:c r="C14" s="66" t="str">
        <x:v>Capacity valuation, not payroll reduction</x:v>
      </x:c>
      <x:c r="D14" s="3"/>
      <x:c r="E14" s="3"/>
      <x:c r="F14" s="3"/>
      <x:c r="G14" s="3"/>
      <x:c r="H14" s="3"/>
      <x:c r="I14" s="3"/>
      <x:c r="J14" s="3"/>
      <x:c r="K14" s="3"/>
      <x:c r="L14" s="3"/>
      <x:c r="M14" s="3"/>
      <x:c r="N14" s="3"/>
      <x:c r="O14" s="3"/>
      <x:c r="P14" s="3"/>
      <x:c r="Q14" s="3"/>
      <x:c r="R14" s="3"/>
    </x:row>
    <x:row r="15" ht="34" customHeight="1">
      <x:c r="A15" s="95" t="str">
        <x:v>One-off implementation cost</x:v>
      </x:c>
      <x:c r="B15" s="98"/>
      <x:c r="C15" s="66" t="str">
        <x:v>Include relevant setup costs</x:v>
      </x:c>
      <x:c r="D15" s="3"/>
      <x:c r="E15" s="3"/>
      <x:c r="F15" s="3"/>
      <x:c r="G15" s="3"/>
      <x:c r="H15" s="3"/>
      <x:c r="I15" s="3"/>
      <x:c r="J15" s="3"/>
      <x:c r="K15" s="3"/>
      <x:c r="L15" s="3"/>
      <x:c r="M15" s="3"/>
      <x:c r="N15" s="3"/>
      <x:c r="O15" s="3"/>
      <x:c r="P15" s="3"/>
      <x:c r="Q15" s="3"/>
      <x:c r="R15" s="3"/>
    </x:row>
    <x:row r="16" ht="34" customHeight="1">
      <x:c r="A16" s="95" t="str">
        <x:v>Running cost for same period</x:v>
      </x:c>
      <x:c r="B16" s="98"/>
      <x:c r="C16" s="66" t="str">
        <x:v>Match the period above</x:v>
      </x:c>
      <x:c r="D16" s="3"/>
      <x:c r="E16" s="3"/>
      <x:c r="F16" s="3"/>
      <x:c r="G16" s="3"/>
      <x:c r="H16" s="3"/>
      <x:c r="I16" s="3"/>
      <x:c r="J16" s="3"/>
      <x:c r="K16" s="3"/>
      <x:c r="L16" s="3"/>
      <x:c r="M16" s="3"/>
      <x:c r="N16" s="3"/>
      <x:c r="O16" s="3"/>
      <x:c r="P16" s="3"/>
      <x:c r="Q16" s="3"/>
      <x:c r="R16" s="3"/>
    </x:row>
    <x:row r="17" ht="34" customHeight="1">
      <x:c r="A17" s="95" t="str">
        <x:v>Confirmed cash saving</x:v>
      </x:c>
      <x:c r="B17" s="98"/>
      <x:c r="C17" s="66" t="str">
        <x:v>Enter only with budget-owner evidence; blank = unconfirmed</x:v>
      </x:c>
      <x:c r="D17" s="3"/>
      <x:c r="E17" s="3"/>
      <x:c r="F17" s="3"/>
      <x:c r="G17" s="3"/>
      <x:c r="H17" s="3"/>
      <x:c r="I17" s="3"/>
      <x:c r="J17" s="3"/>
      <x:c r="K17" s="3"/>
      <x:c r="L17" s="3"/>
      <x:c r="M17" s="3"/>
      <x:c r="N17" s="3"/>
      <x:c r="O17" s="3"/>
      <x:c r="P17" s="3"/>
      <x:c r="Q17" s="3"/>
      <x:c r="R17" s="3"/>
    </x:row>
    <x:row r="18" ht="34" customHeight="1">
      <x:c r="A18" s="95" t="str">
        <x:v>Minutes released / request</x:v>
      </x:c>
      <x:c r="B18" s="99" t="str">
        <x:f>IF(AND(COUNT(B10:B11)=2,MIN(B10:B11)&gt;=0),B10-B11,"")</x:f>
      </x:c>
      <x:c r="C18" s="66" t="str">
        <x:v>Calculated; negative means more effort</x:v>
      </x:c>
      <x:c r="D18" s="3"/>
      <x:c r="E18" s="3"/>
      <x:c r="F18" s="3"/>
      <x:c r="G18" s="3"/>
      <x:c r="H18" s="3"/>
      <x:c r="I18" s="3"/>
      <x:c r="J18" s="3"/>
      <x:c r="K18" s="3"/>
      <x:c r="L18" s="3"/>
      <x:c r="M18" s="3"/>
      <x:c r="N18" s="3"/>
      <x:c r="O18" s="3"/>
      <x:c r="P18" s="3"/>
      <x:c r="Q18" s="3"/>
      <x:c r="R18" s="3"/>
    </x:row>
    <x:row r="19" ht="34" customHeight="1">
      <x:c r="A19" s="95" t="str">
        <x:v>Hours released in period</x:v>
      </x:c>
      <x:c r="B19" s="99" t="str">
        <x:f>IF(AND(ISNUMBER(B18),COUNT(B12:B13)=2,B12&gt;=0,B13&gt;0,MOD(B13,1)=0),B18*B12*B13/'01 Setup'!$B$21,"")</x:f>
      </x:c>
      <x:c r="C19" s="66" t="str">
        <x:v>Calculated with consistent units</x:v>
      </x:c>
      <x:c r="D19" s="3"/>
      <x:c r="E19" s="3"/>
      <x:c r="F19" s="3"/>
      <x:c r="G19" s="3"/>
      <x:c r="H19" s="3"/>
      <x:c r="I19" s="3"/>
      <x:c r="J19" s="3"/>
      <x:c r="K19" s="3"/>
      <x:c r="L19" s="3"/>
      <x:c r="M19" s="3"/>
      <x:c r="N19" s="3"/>
      <x:c r="O19" s="3"/>
      <x:c r="P19" s="3"/>
      <x:c r="Q19" s="3"/>
      <x:c r="R19" s="3"/>
    </x:row>
    <x:row r="20" ht="34" customHeight="1">
      <x:c r="A20" s="95" t="str">
        <x:v>Capacity value</x:v>
      </x:c>
      <x:c r="B20" s="99" t="str">
        <x:f>IF(AND(ISNUMBER(B19),ISNUMBER(B14),B14&gt;=0),B19*B14,"")</x:f>
      </x:c>
      <x:c r="C20" s="66" t="str">
        <x:v>Not a cash saving</x:v>
      </x:c>
      <x:c r="D20" s="3"/>
      <x:c r="E20" s="3"/>
      <x:c r="F20" s="3"/>
      <x:c r="G20" s="3"/>
      <x:c r="H20" s="3"/>
      <x:c r="I20" s="3"/>
      <x:c r="J20" s="3"/>
      <x:c r="K20" s="3"/>
      <x:c r="L20" s="3"/>
      <x:c r="M20" s="3"/>
      <x:c r="N20" s="3"/>
      <x:c r="O20" s="3"/>
      <x:c r="P20" s="3"/>
      <x:c r="Q20" s="3"/>
      <x:c r="R20" s="3"/>
    </x:row>
    <x:row r="21" ht="34" customHeight="1">
      <x:c r="A21" s="95" t="str">
        <x:v>Total stated cost</x:v>
      </x:c>
      <x:c r="B21" s="99" t="str">
        <x:f>IF(AND(COUNT(B15:B16)=2,MIN(B15:B16)&gt;=0),SUM(B15:B16),"")</x:f>
      </x:c>
      <x:c r="C21" s="66" t="str">
        <x:v>Only calculated when both costs entered</x:v>
      </x:c>
      <x:c r="D21" s="3"/>
      <x:c r="E21" s="3"/>
      <x:c r="F21" s="3"/>
      <x:c r="G21" s="3"/>
      <x:c r="H21" s="3"/>
      <x:c r="I21" s="3"/>
      <x:c r="J21" s="3"/>
      <x:c r="K21" s="3"/>
      <x:c r="L21" s="3"/>
      <x:c r="M21" s="3"/>
      <x:c r="N21" s="3"/>
      <x:c r="O21" s="3"/>
      <x:c r="P21" s="3"/>
      <x:c r="Q21" s="3"/>
      <x:c r="R21" s="3"/>
    </x:row>
    <x:row r="22" ht="34" customHeight="1">
      <x:c r="A22" s="95" t="str">
        <x:v>Cash net effect</x:v>
      </x:c>
      <x:c r="B22" s="99" t="str">
        <x:f>IF(AND(ISNUMBER(B17),ISNUMBER(B21),B17&gt;=0),B17-B21,"")</x:f>
      </x:c>
      <x:c r="C22" s="66" t="str">
        <x:v>Only when cash saving and both costs are entered</x:v>
      </x:c>
      <x:c r="D22" s="3"/>
      <x:c r="E22" s="3"/>
      <x:c r="F22" s="3"/>
      <x:c r="G22" s="3"/>
      <x:c r="H22" s="3"/>
      <x:c r="I22" s="3"/>
      <x:c r="J22" s="3"/>
      <x:c r="K22" s="3"/>
      <x:c r="L22" s="3"/>
      <x:c r="M22" s="3"/>
      <x:c r="N22" s="3"/>
      <x:c r="O22" s="3"/>
      <x:c r="P22" s="3"/>
      <x:c r="Q22" s="3"/>
      <x:c r="R22" s="3"/>
    </x:row>
    <x:row r="23" ht="34" customHeight="1">
      <x:c r="A23" s="95" t="str">
        <x:v>Data check</x:v>
      </x:c>
      <x:c r="B23" s="14" t="str">
        <x:f>IF(COUNT(B10:B14)=0,"No scenario entered",IF(COUNT(B10:B14)&lt;5,"Complete time, volume, period and rate",IF(MIN(B10:B14)&lt;0,"Negative input - review",IF(OR(B13=0,MOD(B13,1)&lt;&gt;0),"Use positive whole months","Review assumptions"))))</x:f>
        <x:v>No scenario entered</x:v>
      </x:c>
      <x:c r="C23" s="66" t="str">
        <x:v>Complete inputs and review assumptions</x:v>
      </x:c>
      <x:c r="D23" s="3"/>
      <x:c r="E23" s="3"/>
      <x:c r="F23" s="3"/>
      <x:c r="G23" s="3"/>
      <x:c r="H23" s="3"/>
      <x:c r="I23" s="3"/>
      <x:c r="J23" s="3"/>
      <x:c r="K23" s="3"/>
      <x:c r="L23" s="3"/>
      <x:c r="M23" s="3"/>
      <x:c r="N23" s="3"/>
      <x:c r="O23" s="3"/>
      <x:c r="P23" s="3"/>
      <x:c r="Q23" s="3"/>
      <x:c r="R23" s="3"/>
    </x:row>
    <x:row r="24" ht="20" customHeight="1">
      <x:c r="A24" s="3"/>
      <x:c r="B24" s="3"/>
      <x:c r="C24" s="3"/>
      <x:c r="D24" s="3"/>
      <x:c r="E24" s="3"/>
      <x:c r="F24" s="3"/>
      <x:c r="G24" s="3"/>
      <x:c r="H24" s="3"/>
      <x:c r="I24" s="3"/>
      <x:c r="J24" s="3"/>
      <x:c r="K24" s="3"/>
      <x:c r="L24" s="3"/>
      <x:c r="M24" s="3"/>
      <x:c r="N24" s="3"/>
      <x:c r="O24" s="3"/>
      <x:c r="P24" s="3"/>
      <x:c r="Q24" s="3"/>
      <x:c r="R24" s="3"/>
    </x:row>
    <x:row r="25" ht="20" customHeight="1">
      <x:c r="A25" s="3"/>
      <x:c r="B25" s="3"/>
      <x:c r="C25" s="3"/>
      <x:c r="D25" s="3"/>
      <x:c r="E25" s="3"/>
      <x:c r="F25" s="3"/>
      <x:c r="G25" s="3"/>
      <x:c r="H25" s="3"/>
      <x:c r="I25" s="3"/>
      <x:c r="J25" s="3"/>
      <x:c r="K25" s="3"/>
      <x:c r="L25" s="3"/>
      <x:c r="M25" s="3"/>
      <x:c r="N25" s="3"/>
      <x:c r="O25" s="3"/>
      <x:c r="P25" s="3"/>
      <x:c r="Q25" s="3"/>
      <x:c r="R25" s="3"/>
    </x:row>
    <x:row r="26" ht="20" customHeight="1">
      <x:c r="A26" s="104" t="str">
        <x:v>DO NOT ADD CAPACITY VALUE TO THE SAME CASH SAVING. Elapsed waiting hours are not staff hours. A negative cash net effect is possible. These arithmetic outputs do not establish attribution, realisation or a business-case return.</x:v>
      </x:c>
      <x:c r="B26" s="104"/>
      <x:c r="C26" s="104"/>
      <x:c r="D26" s="104"/>
      <x:c r="E26" s="104"/>
      <x:c r="F26" s="104"/>
      <x:c r="G26" s="104"/>
      <x:c r="H26" s="104"/>
      <x:c r="I26" s="104"/>
      <x:c r="J26" s="104"/>
      <x:c r="K26" s="104"/>
      <x:c r="L26" s="104"/>
      <x:c r="M26" s="3"/>
      <x:c r="N26" s="3"/>
      <x:c r="O26" s="3"/>
      <x:c r="P26" s="3"/>
      <x:c r="Q26" s="3"/>
      <x:c r="R26" s="3"/>
    </x:row>
    <x:row r="27" ht="20" customHeight="1">
      <x:c r="A27" s="104"/>
      <x:c r="B27" s="104"/>
      <x:c r="C27" s="104"/>
      <x:c r="D27" s="104"/>
      <x:c r="E27" s="104"/>
      <x:c r="F27" s="104"/>
      <x:c r="G27" s="104"/>
      <x:c r="H27" s="104"/>
      <x:c r="I27" s="104"/>
      <x:c r="J27" s="104"/>
      <x:c r="K27" s="104"/>
      <x:c r="L27" s="104"/>
      <x:c r="M27" s="3"/>
      <x:c r="N27" s="3"/>
      <x:c r="O27" s="3"/>
      <x:c r="P27" s="3"/>
      <x:c r="Q27" s="3"/>
      <x:c r="R27" s="3"/>
    </x:row>
    <x:row r="28" ht="20" customHeight="1">
      <x:c r="A28" s="104"/>
      <x:c r="B28" s="104"/>
      <x:c r="C28" s="104"/>
      <x:c r="D28" s="104"/>
      <x:c r="E28" s="104"/>
      <x:c r="F28" s="104"/>
      <x:c r="G28" s="104"/>
      <x:c r="H28" s="104"/>
      <x:c r="I28" s="104"/>
      <x:c r="J28" s="104"/>
      <x:c r="K28" s="104"/>
      <x:c r="L28" s="104"/>
      <x:c r="M28" s="3"/>
      <x:c r="N28" s="3"/>
      <x:c r="O28" s="3"/>
      <x:c r="P28" s="3"/>
      <x:c r="Q28" s="3"/>
      <x:c r="R28" s="3"/>
    </x:row>
    <x:row r="29" ht="20" customHeight="1">
      <x:c r="A29" s="104"/>
      <x:c r="B29" s="104"/>
      <x:c r="C29" s="104"/>
      <x:c r="D29" s="104"/>
      <x:c r="E29" s="104"/>
      <x:c r="F29" s="104"/>
      <x:c r="G29" s="104"/>
      <x:c r="H29" s="104"/>
      <x:c r="I29" s="104"/>
      <x:c r="J29" s="104"/>
      <x:c r="K29" s="104"/>
      <x:c r="L29" s="104"/>
      <x:c r="M29" s="3"/>
      <x:c r="N29" s="3"/>
      <x:c r="O29" s="3"/>
      <x:c r="P29" s="3"/>
      <x:c r="Q29" s="3"/>
      <x:c r="R29" s="3"/>
    </x:row>
    <x:row r="30" ht="20" customHeight="1">
      <x:c r="A30" s="104"/>
      <x:c r="B30" s="104"/>
      <x:c r="C30" s="104"/>
      <x:c r="D30" s="104"/>
      <x:c r="E30" s="104"/>
      <x:c r="F30" s="104"/>
      <x:c r="G30" s="104"/>
      <x:c r="H30" s="104"/>
      <x:c r="I30" s="104"/>
      <x:c r="J30" s="104"/>
      <x:c r="K30" s="104"/>
      <x:c r="L30" s="104"/>
      <x:c r="M30" s="3"/>
      <x:c r="N30" s="3"/>
      <x:c r="O30" s="3"/>
      <x:c r="P30" s="3"/>
      <x:c r="Q30" s="3"/>
      <x:c r="R30" s="3"/>
    </x:row>
    <x:row r="31" ht="20" customHeight="1">
      <x:c r="A31" s="3"/>
      <x:c r="B31" s="3"/>
      <x:c r="C31" s="3"/>
      <x:c r="D31" s="3"/>
      <x:c r="E31" s="3"/>
      <x:c r="F31" s="3"/>
      <x:c r="G31" s="3"/>
      <x:c r="H31" s="3"/>
      <x:c r="I31" s="3"/>
      <x:c r="J31" s="3"/>
      <x:c r="K31" s="3"/>
      <x:c r="L31" s="3"/>
      <x:c r="M31" s="3"/>
      <x:c r="N31" s="3"/>
      <x:c r="O31" s="3"/>
      <x:c r="P31" s="3"/>
      <x:c r="Q31" s="3"/>
      <x:c r="R31" s="3"/>
    </x:row>
    <x:row r="32" ht="20" customHeight="1">
      <x:c r="A32" s="3"/>
      <x:c r="B32" s="3"/>
      <x:c r="C32" s="3"/>
      <x:c r="D32" s="3"/>
      <x:c r="E32" s="3"/>
      <x:c r="F32" s="3"/>
      <x:c r="G32" s="3"/>
      <x:c r="H32" s="3"/>
      <x:c r="I32" s="3"/>
      <x:c r="J32" s="3"/>
      <x:c r="K32" s="3"/>
      <x:c r="L32" s="3"/>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3"/>
      <x:c r="B34" s="3"/>
      <x:c r="C34" s="3"/>
      <x:c r="D34" s="3"/>
      <x:c r="E34" s="3"/>
      <x:c r="F34" s="3"/>
      <x:c r="G34" s="3"/>
      <x:c r="H34" s="3"/>
      <x:c r="I34" s="3"/>
      <x:c r="J34" s="3"/>
      <x:c r="K34" s="3"/>
      <x:c r="L34" s="3"/>
      <x:c r="M34" s="3"/>
      <x:c r="N34" s="3"/>
      <x:c r="O34" s="3"/>
      <x:c r="P34" s="3"/>
      <x:c r="Q34" s="3"/>
      <x:c r="R34" s="3"/>
    </x:row>
    <x:row r="35" ht="38" customHeight="1">
      <x:c r="A35" s="77" t="str">
        <x:v>Benefit ID</x:v>
      </x:c>
      <x:c r="B35" s="77" t="str">
        <x:v>Benefit / classification</x:v>
      </x:c>
      <x:c r="C35" s="77" t="str">
        <x:v>Owner</x:v>
      </x:c>
      <x:c r="D35" s="77" t="str">
        <x:v>Baseline</x:v>
      </x:c>
      <x:c r="E35" s="77" t="str">
        <x:v>Target / forecast</x:v>
      </x:c>
      <x:c r="F35" s="77" t="str">
        <x:v>Observed evidence</x:v>
      </x:c>
      <x:c r="G35" s="77" t="str">
        <x:v>Status</x:v>
      </x:c>
      <x:c r="H35" s="77" t="str">
        <x:v>Next review</x:v>
      </x:c>
      <x:c r="I35" s="3"/>
      <x:c r="J35" s="3"/>
      <x:c r="K35" s="3"/>
      <x:c r="L35" s="3"/>
      <x:c r="M35" s="3"/>
      <x:c r="N35" s="3"/>
      <x:c r="O35" s="3"/>
      <x:c r="P35" s="3"/>
      <x:c r="Q35" s="3"/>
      <x:c r="R35" s="3"/>
    </x:row>
    <x:row r="36" ht="34" customHeight="1">
      <x:c r="A36" s="46"/>
      <x:c r="B36" s="46"/>
      <x:c r="C36" s="46"/>
      <x:c r="D36" s="46"/>
      <x:c r="E36" s="46"/>
      <x:c r="F36" s="46"/>
      <x:c r="G36" s="46"/>
      <x:c r="H36" s="88"/>
      <x:c r="I36" s="3"/>
      <x:c r="J36" s="3"/>
      <x:c r="K36" s="3"/>
      <x:c r="L36" s="3"/>
      <x:c r="M36" s="3"/>
      <x:c r="N36" s="3"/>
      <x:c r="O36" s="3"/>
      <x:c r="P36" s="3"/>
      <x:c r="Q36" s="3"/>
      <x:c r="R36" s="3"/>
    </x:row>
    <x:row r="37" ht="34" customHeight="1">
      <x:c r="A37" s="46"/>
      <x:c r="B37" s="46"/>
      <x:c r="C37" s="46"/>
      <x:c r="D37" s="46"/>
      <x:c r="E37" s="46"/>
      <x:c r="F37" s="46"/>
      <x:c r="G37" s="46"/>
      <x:c r="H37" s="88"/>
      <x:c r="I37" s="3"/>
      <x:c r="J37" s="3"/>
      <x:c r="K37" s="3"/>
      <x:c r="L37" s="3"/>
      <x:c r="M37" s="3"/>
      <x:c r="N37" s="3"/>
      <x:c r="O37" s="3"/>
      <x:c r="P37" s="3"/>
      <x:c r="Q37" s="3"/>
      <x:c r="R37" s="3"/>
    </x:row>
    <x:row r="38" ht="34" customHeight="1">
      <x:c r="A38" s="46"/>
      <x:c r="B38" s="46"/>
      <x:c r="C38" s="46"/>
      <x:c r="D38" s="46"/>
      <x:c r="E38" s="46"/>
      <x:c r="F38" s="46"/>
      <x:c r="G38" s="46"/>
      <x:c r="H38" s="88"/>
      <x:c r="I38" s="3"/>
      <x:c r="J38" s="3"/>
      <x:c r="K38" s="3"/>
      <x:c r="L38" s="3"/>
      <x:c r="M38" s="3"/>
      <x:c r="N38" s="3"/>
      <x:c r="O38" s="3"/>
      <x:c r="P38" s="3"/>
      <x:c r="Q38" s="3"/>
      <x:c r="R38" s="3"/>
    </x:row>
    <x:row r="39" ht="34" customHeight="1">
      <x:c r="A39" s="46"/>
      <x:c r="B39" s="46"/>
      <x:c r="C39" s="46"/>
      <x:c r="D39" s="46"/>
      <x:c r="E39" s="46"/>
      <x:c r="F39" s="46"/>
      <x:c r="G39" s="46"/>
      <x:c r="H39" s="88"/>
      <x:c r="I39" s="3"/>
      <x:c r="J39" s="3"/>
      <x:c r="K39" s="3"/>
      <x:c r="L39" s="3"/>
      <x:c r="M39" s="3"/>
      <x:c r="N39" s="3"/>
      <x:c r="O39" s="3"/>
      <x:c r="P39" s="3"/>
      <x:c r="Q39" s="3"/>
      <x:c r="R39" s="3"/>
    </x:row>
    <x:row r="40" ht="34" customHeight="1">
      <x:c r="A40" s="46"/>
      <x:c r="B40" s="46"/>
      <x:c r="C40" s="46"/>
      <x:c r="D40" s="46"/>
      <x:c r="E40" s="46"/>
      <x:c r="F40" s="46"/>
      <x:c r="G40" s="46"/>
      <x:c r="H40" s="88"/>
      <x:c r="I40" s="3"/>
      <x:c r="J40" s="3"/>
      <x:c r="K40" s="3"/>
      <x:c r="L40" s="3"/>
      <x:c r="M40" s="3"/>
      <x:c r="N40" s="3"/>
      <x:c r="O40" s="3"/>
      <x:c r="P40" s="3"/>
      <x:c r="Q40" s="3"/>
      <x:c r="R40" s="3"/>
    </x:row>
    <x:row r="41" ht="34" customHeight="1">
      <x:c r="A41" s="46"/>
      <x:c r="B41" s="46"/>
      <x:c r="C41" s="46"/>
      <x:c r="D41" s="46"/>
      <x:c r="E41" s="46"/>
      <x:c r="F41" s="46"/>
      <x:c r="G41" s="46"/>
      <x:c r="H41" s="88"/>
      <x:c r="I41" s="3"/>
      <x:c r="J41" s="3"/>
      <x:c r="K41" s="3"/>
      <x:c r="L41" s="3"/>
      <x:c r="M41" s="3"/>
      <x:c r="N41" s="3"/>
      <x:c r="O41" s="3"/>
      <x:c r="P41" s="3"/>
      <x:c r="Q41" s="3"/>
      <x:c r="R41" s="3"/>
    </x:row>
    <x:row r="42" ht="34" customHeight="1">
      <x:c r="A42" s="46"/>
      <x:c r="B42" s="46"/>
      <x:c r="C42" s="46"/>
      <x:c r="D42" s="46"/>
      <x:c r="E42" s="46"/>
      <x:c r="F42" s="46"/>
      <x:c r="G42" s="46"/>
      <x:c r="H42" s="88"/>
      <x:c r="I42" s="3"/>
      <x:c r="J42" s="3"/>
      <x:c r="K42" s="3"/>
      <x:c r="L42" s="3"/>
      <x:c r="M42" s="3"/>
      <x:c r="N42" s="3"/>
      <x:c r="O42" s="3"/>
      <x:c r="P42" s="3"/>
      <x:c r="Q42" s="3"/>
      <x:c r="R42" s="3"/>
    </x:row>
    <x:row r="43" ht="34" customHeight="1">
      <x:c r="A43" s="46"/>
      <x:c r="B43" s="46"/>
      <x:c r="C43" s="46"/>
      <x:c r="D43" s="46"/>
      <x:c r="E43" s="46"/>
      <x:c r="F43" s="46"/>
      <x:c r="G43" s="46"/>
      <x:c r="H43" s="88"/>
      <x:c r="I43" s="3"/>
      <x:c r="J43" s="3"/>
      <x:c r="K43" s="3"/>
      <x:c r="L43" s="3"/>
      <x:c r="M43" s="3"/>
      <x:c r="N43" s="3"/>
      <x:c r="O43" s="3"/>
      <x:c r="P43" s="3"/>
      <x:c r="Q43" s="3"/>
      <x:c r="R43" s="3"/>
    </x:row>
    <x:row r="44" ht="34" customHeight="1">
      <x:c r="A44" s="46"/>
      <x:c r="B44" s="46"/>
      <x:c r="C44" s="46"/>
      <x:c r="D44" s="46"/>
      <x:c r="E44" s="46"/>
      <x:c r="F44" s="46"/>
      <x:c r="G44" s="46"/>
      <x:c r="H44" s="88"/>
      <x:c r="I44" s="3"/>
      <x:c r="J44" s="3"/>
      <x:c r="K44" s="3"/>
      <x:c r="L44" s="3"/>
      <x:c r="M44" s="3"/>
      <x:c r="N44" s="3"/>
      <x:c r="O44" s="3"/>
      <x:c r="P44" s="3"/>
      <x:c r="Q44" s="3"/>
      <x:c r="R44" s="3"/>
    </x:row>
    <x:row r="45" ht="34" customHeight="1">
      <x:c r="A45" s="46"/>
      <x:c r="B45" s="46"/>
      <x:c r="C45" s="46"/>
      <x:c r="D45" s="46"/>
      <x:c r="E45" s="46"/>
      <x:c r="F45" s="46"/>
      <x:c r="G45" s="46"/>
      <x:c r="H45" s="88"/>
      <x:c r="I45" s="3"/>
      <x:c r="J45" s="3"/>
      <x:c r="K45" s="3"/>
      <x:c r="L45" s="3"/>
      <x:c r="M45" s="3"/>
      <x:c r="N45" s="3"/>
      <x:c r="O45" s="3"/>
      <x:c r="P45" s="3"/>
      <x:c r="Q45" s="3"/>
      <x:c r="R45" s="3"/>
    </x:row>
    <x:row r="46" ht="34" customHeight="1">
      <x:c r="A46" s="46"/>
      <x:c r="B46" s="46"/>
      <x:c r="C46" s="46"/>
      <x:c r="D46" s="46"/>
      <x:c r="E46" s="46"/>
      <x:c r="F46" s="46"/>
      <x:c r="G46" s="46"/>
      <x:c r="H46" s="88"/>
      <x:c r="I46" s="3"/>
      <x:c r="J46" s="3"/>
      <x:c r="K46" s="3"/>
      <x:c r="L46" s="3"/>
      <x:c r="M46" s="3"/>
      <x:c r="N46" s="3"/>
      <x:c r="O46" s="3"/>
      <x:c r="P46" s="3"/>
      <x:c r="Q46" s="3"/>
      <x:c r="R46" s="3"/>
    </x:row>
    <x:row r="47" ht="34" customHeight="1">
      <x:c r="A47" s="46"/>
      <x:c r="B47" s="46"/>
      <x:c r="C47" s="46"/>
      <x:c r="D47" s="46"/>
      <x:c r="E47" s="46"/>
      <x:c r="F47" s="46"/>
      <x:c r="G47" s="46"/>
      <x:c r="H47" s="88"/>
      <x:c r="I47" s="3"/>
      <x:c r="J47" s="3"/>
      <x:c r="K47" s="3"/>
      <x:c r="L47" s="3"/>
      <x:c r="M47" s="3"/>
      <x:c r="N47" s="3"/>
      <x:c r="O47" s="3"/>
      <x:c r="P47" s="3"/>
      <x:c r="Q47" s="3"/>
      <x:c r="R47" s="3"/>
    </x:row>
    <x:row r="48" ht="34" customHeight="1">
      <x:c r="A48" s="46"/>
      <x:c r="B48" s="46"/>
      <x:c r="C48" s="46"/>
      <x:c r="D48" s="46"/>
      <x:c r="E48" s="46"/>
      <x:c r="F48" s="46"/>
      <x:c r="G48" s="46"/>
      <x:c r="H48" s="88"/>
      <x:c r="I48" s="3"/>
      <x:c r="J48" s="3"/>
      <x:c r="K48" s="3"/>
      <x:c r="L48" s="3"/>
      <x:c r="M48" s="3"/>
      <x:c r="N48" s="3"/>
      <x:c r="O48" s="3"/>
      <x:c r="P48" s="3"/>
      <x:c r="Q48" s="3"/>
      <x:c r="R48" s="3"/>
    </x:row>
    <x:row r="49" ht="34" customHeight="1">
      <x:c r="A49" s="46"/>
      <x:c r="B49" s="46"/>
      <x:c r="C49" s="46"/>
      <x:c r="D49" s="46"/>
      <x:c r="E49" s="46"/>
      <x:c r="F49" s="46"/>
      <x:c r="G49" s="46"/>
      <x:c r="H49" s="88"/>
      <x:c r="I49" s="3"/>
      <x:c r="J49" s="3"/>
      <x:c r="K49" s="3"/>
      <x:c r="L49" s="3"/>
      <x:c r="M49" s="3"/>
      <x:c r="N49" s="3"/>
      <x:c r="O49" s="3"/>
      <x:c r="P49" s="3"/>
      <x:c r="Q49" s="3"/>
      <x:c r="R49" s="3"/>
    </x:row>
    <x:row r="50" ht="34" customHeight="1">
      <x:c r="A50" s="46"/>
      <x:c r="B50" s="46"/>
      <x:c r="C50" s="46"/>
      <x:c r="D50" s="46"/>
      <x:c r="E50" s="46"/>
      <x:c r="F50" s="46"/>
      <x:c r="G50" s="46"/>
      <x:c r="H50" s="88"/>
      <x:c r="I50" s="3"/>
      <x:c r="J50" s="3"/>
      <x:c r="K50" s="3"/>
      <x:c r="L50" s="3"/>
      <x:c r="M50" s="3"/>
      <x:c r="N50" s="3"/>
      <x:c r="O50" s="3"/>
      <x:c r="P50" s="3"/>
      <x:c r="Q50" s="3"/>
      <x:c r="R50" s="3"/>
    </x:row>
    <x:row r="51" ht="34" customHeight="1">
      <x:c r="A51" s="46"/>
      <x:c r="B51" s="46"/>
      <x:c r="C51" s="46"/>
      <x:c r="D51" s="46"/>
      <x:c r="E51" s="46"/>
      <x:c r="F51" s="46"/>
      <x:c r="G51" s="46"/>
      <x:c r="H51" s="88"/>
      <x:c r="I51" s="3"/>
      <x:c r="J51" s="3"/>
      <x:c r="K51" s="3"/>
      <x:c r="L51" s="3"/>
      <x:c r="M51" s="3"/>
      <x:c r="N51" s="3"/>
      <x:c r="O51" s="3"/>
      <x:c r="P51" s="3"/>
      <x:c r="Q51" s="3"/>
      <x:c r="R51" s="3"/>
    </x:row>
    <x:row r="52" ht="34" customHeight="1">
      <x:c r="A52" s="46"/>
      <x:c r="B52" s="46"/>
      <x:c r="C52" s="46"/>
      <x:c r="D52" s="46"/>
      <x:c r="E52" s="46"/>
      <x:c r="F52" s="46"/>
      <x:c r="G52" s="46"/>
      <x:c r="H52" s="88"/>
      <x:c r="I52" s="3"/>
      <x:c r="J52" s="3"/>
      <x:c r="K52" s="3"/>
      <x:c r="L52" s="3"/>
      <x:c r="M52" s="3"/>
      <x:c r="N52" s="3"/>
      <x:c r="O52" s="3"/>
      <x:c r="P52" s="3"/>
      <x:c r="Q52" s="3"/>
      <x:c r="R52" s="3"/>
    </x:row>
    <x:row r="53" ht="34" customHeight="1">
      <x:c r="A53" s="46"/>
      <x:c r="B53" s="46"/>
      <x:c r="C53" s="46"/>
      <x:c r="D53" s="46"/>
      <x:c r="E53" s="46"/>
      <x:c r="F53" s="46"/>
      <x:c r="G53" s="46"/>
      <x:c r="H53" s="88"/>
      <x:c r="I53" s="3"/>
      <x:c r="J53" s="3"/>
      <x:c r="K53" s="3"/>
      <x:c r="L53" s="3"/>
      <x:c r="M53" s="3"/>
      <x:c r="N53" s="3"/>
      <x:c r="O53" s="3"/>
      <x:c r="P53" s="3"/>
      <x:c r="Q53" s="3"/>
      <x:c r="R53" s="3"/>
    </x:row>
    <x:row r="54" ht="34" customHeight="1">
      <x:c r="A54" s="46"/>
      <x:c r="B54" s="46"/>
      <x:c r="C54" s="46"/>
      <x:c r="D54" s="46"/>
      <x:c r="E54" s="46"/>
      <x:c r="F54" s="46"/>
      <x:c r="G54" s="46"/>
      <x:c r="H54" s="88"/>
      <x:c r="I54" s="3"/>
      <x:c r="J54" s="3"/>
      <x:c r="K54" s="3"/>
      <x:c r="L54" s="3"/>
      <x:c r="M54" s="3"/>
      <x:c r="N54" s="3"/>
      <x:c r="O54" s="3"/>
      <x:c r="P54" s="3"/>
      <x:c r="Q54" s="3"/>
      <x:c r="R54" s="3"/>
    </x:row>
    <x:row r="55" ht="34" customHeight="1">
      <x:c r="A55" s="46"/>
      <x:c r="B55" s="46"/>
      <x:c r="C55" s="46"/>
      <x:c r="D55" s="46"/>
      <x:c r="E55" s="46"/>
      <x:c r="F55" s="46"/>
      <x:c r="G55" s="46"/>
      <x:c r="H55" s="88"/>
      <x:c r="I55" s="3"/>
      <x:c r="J55" s="3"/>
      <x:c r="K55" s="3"/>
      <x:c r="L55" s="3"/>
      <x:c r="M55" s="3"/>
      <x:c r="N55" s="3"/>
      <x:c r="O55" s="3"/>
      <x:c r="P55" s="3"/>
      <x:c r="Q55" s="3"/>
      <x:c r="R55" s="3"/>
    </x:row>
    <x:row r="56" ht="34" customHeight="1">
      <x:c r="A56" s="46"/>
      <x:c r="B56" s="46"/>
      <x:c r="C56" s="46"/>
      <x:c r="D56" s="46"/>
      <x:c r="E56" s="46"/>
      <x:c r="F56" s="46"/>
      <x:c r="G56" s="46"/>
      <x:c r="H56" s="88"/>
      <x:c r="I56" s="3"/>
      <x:c r="J56" s="3"/>
      <x:c r="K56" s="3"/>
      <x:c r="L56" s="3"/>
      <x:c r="M56" s="3"/>
      <x:c r="N56" s="3"/>
      <x:c r="O56" s="3"/>
      <x:c r="P56" s="3"/>
      <x:c r="Q56" s="3"/>
      <x:c r="R56" s="3"/>
    </x:row>
    <x:row r="57" ht="34" customHeight="1">
      <x:c r="A57" s="46"/>
      <x:c r="B57" s="46"/>
      <x:c r="C57" s="46"/>
      <x:c r="D57" s="46"/>
      <x:c r="E57" s="46"/>
      <x:c r="F57" s="46"/>
      <x:c r="G57" s="46"/>
      <x:c r="H57" s="88"/>
      <x:c r="I57" s="3"/>
      <x:c r="J57" s="3"/>
      <x:c r="K57" s="3"/>
      <x:c r="L57" s="3"/>
      <x:c r="M57" s="3"/>
      <x:c r="N57" s="3"/>
      <x:c r="O57" s="3"/>
      <x:c r="P57" s="3"/>
      <x:c r="Q57" s="3"/>
      <x:c r="R57" s="3"/>
    </x:row>
    <x:row r="58" ht="34" customHeight="1">
      <x:c r="A58" s="46"/>
      <x:c r="B58" s="46"/>
      <x:c r="C58" s="46"/>
      <x:c r="D58" s="46"/>
      <x:c r="E58" s="46"/>
      <x:c r="F58" s="46"/>
      <x:c r="G58" s="46"/>
      <x:c r="H58" s="88"/>
      <x:c r="I58" s="3"/>
      <x:c r="J58" s="3"/>
      <x:c r="K58" s="3"/>
      <x:c r="L58" s="3"/>
      <x:c r="M58" s="3"/>
      <x:c r="N58" s="3"/>
      <x:c r="O58" s="3"/>
      <x:c r="P58" s="3"/>
      <x:c r="Q58" s="3"/>
      <x:c r="R58" s="3"/>
    </x:row>
    <x:row r="59" ht="34" customHeight="1">
      <x:c r="A59" s="46"/>
      <x:c r="B59" s="46"/>
      <x:c r="C59" s="46"/>
      <x:c r="D59" s="46"/>
      <x:c r="E59" s="46"/>
      <x:c r="F59" s="46"/>
      <x:c r="G59" s="46"/>
      <x:c r="H59" s="88"/>
      <x:c r="I59" s="3"/>
      <x:c r="J59" s="3"/>
      <x:c r="K59" s="3"/>
      <x:c r="L59" s="3"/>
      <x:c r="M59" s="3"/>
      <x:c r="N59" s="3"/>
      <x:c r="O59" s="3"/>
      <x:c r="P59" s="3"/>
      <x:c r="Q59" s="3"/>
      <x:c r="R59" s="3"/>
    </x:row>
    <x:row r="60" ht="34" customHeight="1">
      <x:c r="A60" s="46"/>
      <x:c r="B60" s="46"/>
      <x:c r="C60" s="46"/>
      <x:c r="D60" s="46"/>
      <x:c r="E60" s="46"/>
      <x:c r="F60" s="46"/>
      <x:c r="G60" s="46"/>
      <x:c r="H60" s="88"/>
      <x:c r="I60" s="3"/>
      <x:c r="J60" s="3"/>
      <x:c r="K60" s="3"/>
      <x:c r="L60" s="3"/>
      <x:c r="M60" s="3"/>
      <x:c r="N60" s="3"/>
      <x:c r="O60" s="3"/>
      <x:c r="P60" s="3"/>
      <x:c r="Q60" s="3"/>
      <x:c r="R60" s="3"/>
    </x:row>
    <x:row r="61" ht="34" customHeight="1">
      <x:c r="A61" s="46"/>
      <x:c r="B61" s="46"/>
      <x:c r="C61" s="46"/>
      <x:c r="D61" s="46"/>
      <x:c r="E61" s="46"/>
      <x:c r="F61" s="46"/>
      <x:c r="G61" s="46"/>
      <x:c r="H61" s="88"/>
      <x:c r="I61" s="3"/>
      <x:c r="J61" s="3"/>
      <x:c r="K61" s="3"/>
      <x:c r="L61" s="3"/>
      <x:c r="M61" s="3"/>
      <x:c r="N61" s="3"/>
      <x:c r="O61" s="3"/>
      <x:c r="P61" s="3"/>
      <x:c r="Q61" s="3"/>
      <x:c r="R61" s="3"/>
    </x:row>
    <x:row r="62" ht="34" customHeight="1">
      <x:c r="A62" s="46"/>
      <x:c r="B62" s="46"/>
      <x:c r="C62" s="46"/>
      <x:c r="D62" s="46"/>
      <x:c r="E62" s="46"/>
      <x:c r="F62" s="46"/>
      <x:c r="G62" s="46"/>
      <x:c r="H62" s="88"/>
      <x:c r="I62" s="3"/>
      <x:c r="J62" s="3"/>
      <x:c r="K62" s="3"/>
      <x:c r="L62" s="3"/>
      <x:c r="M62" s="3"/>
      <x:c r="N62" s="3"/>
      <x:c r="O62" s="3"/>
      <x:c r="P62" s="3"/>
      <x:c r="Q62" s="3"/>
      <x:c r="R62" s="3"/>
    </x:row>
    <x:row r="63" ht="34" customHeight="1">
      <x:c r="A63" s="46"/>
      <x:c r="B63" s="46"/>
      <x:c r="C63" s="46"/>
      <x:c r="D63" s="46"/>
      <x:c r="E63" s="46"/>
      <x:c r="F63" s="46"/>
      <x:c r="G63" s="46"/>
      <x:c r="H63" s="88"/>
      <x:c r="I63" s="3"/>
      <x:c r="J63" s="3"/>
      <x:c r="K63" s="3"/>
      <x:c r="L63" s="3"/>
      <x:c r="M63" s="3"/>
      <x:c r="N63" s="3"/>
      <x:c r="O63" s="3"/>
      <x:c r="P63" s="3"/>
      <x:c r="Q63" s="3"/>
      <x:c r="R63" s="3"/>
    </x:row>
    <x:row r="64" ht="34" customHeight="1">
      <x:c r="A64" s="46"/>
      <x:c r="B64" s="46"/>
      <x:c r="C64" s="46"/>
      <x:c r="D64" s="46"/>
      <x:c r="E64" s="46"/>
      <x:c r="F64" s="46"/>
      <x:c r="G64" s="46"/>
      <x:c r="H64" s="88"/>
      <x:c r="I64" s="3"/>
      <x:c r="J64" s="3"/>
      <x:c r="K64" s="3"/>
      <x:c r="L64" s="3"/>
      <x:c r="M64" s="3"/>
      <x:c r="N64" s="3"/>
      <x:c r="O64" s="3"/>
      <x:c r="P64" s="3"/>
      <x:c r="Q64" s="3"/>
      <x:c r="R64" s="3"/>
    </x:row>
    <x:row r="65" ht="34" customHeight="1">
      <x:c r="A65" s="46"/>
      <x:c r="B65" s="46"/>
      <x:c r="C65" s="46"/>
      <x:c r="D65" s="46"/>
      <x:c r="E65" s="46"/>
      <x:c r="F65" s="46"/>
      <x:c r="G65" s="46"/>
      <x:c r="H65" s="88"/>
      <x:c r="I65" s="3"/>
      <x:c r="J65" s="3"/>
      <x:c r="K65" s="3"/>
      <x:c r="L65" s="3"/>
      <x:c r="M65" s="3"/>
      <x:c r="N65" s="3"/>
      <x:c r="O65" s="3"/>
      <x:c r="P65" s="3"/>
      <x:c r="Q65" s="3"/>
      <x:c r="R65" s="3"/>
    </x:row>
    <x:row r="66" ht="34" customHeight="1">
      <x:c r="A66" s="46"/>
      <x:c r="B66" s="46"/>
      <x:c r="C66" s="46"/>
      <x:c r="D66" s="46"/>
      <x:c r="E66" s="46"/>
      <x:c r="F66" s="46"/>
      <x:c r="G66" s="46"/>
      <x:c r="H66" s="88"/>
      <x:c r="I66" s="3"/>
      <x:c r="J66" s="3"/>
      <x:c r="K66" s="3"/>
      <x:c r="L66" s="3"/>
      <x:c r="M66" s="3"/>
      <x:c r="N66" s="3"/>
      <x:c r="O66" s="3"/>
      <x:c r="P66" s="3"/>
      <x:c r="Q66" s="3"/>
      <x:c r="R66" s="3"/>
    </x:row>
    <x:row r="67" ht="34" customHeight="1">
      <x:c r="A67" s="46"/>
      <x:c r="B67" s="46"/>
      <x:c r="C67" s="46"/>
      <x:c r="D67" s="46"/>
      <x:c r="E67" s="46"/>
      <x:c r="F67" s="46"/>
      <x:c r="G67" s="46"/>
      <x:c r="H67" s="88"/>
      <x:c r="I67" s="3"/>
      <x:c r="J67" s="3"/>
      <x:c r="K67" s="3"/>
      <x:c r="L67" s="3"/>
      <x:c r="M67" s="3"/>
      <x:c r="N67" s="3"/>
      <x:c r="O67" s="3"/>
      <x:c r="P67" s="3"/>
      <x:c r="Q67" s="3"/>
      <x:c r="R67" s="3"/>
    </x:row>
    <x:row r="68" ht="34" customHeight="1">
      <x:c r="A68" s="46"/>
      <x:c r="B68" s="46"/>
      <x:c r="C68" s="46"/>
      <x:c r="D68" s="46"/>
      <x:c r="E68" s="46"/>
      <x:c r="F68" s="46"/>
      <x:c r="G68" s="46"/>
      <x:c r="H68" s="88"/>
      <x:c r="I68" s="3"/>
      <x:c r="J68" s="3"/>
      <x:c r="K68" s="3"/>
      <x:c r="L68" s="3"/>
      <x:c r="M68" s="3"/>
      <x:c r="N68" s="3"/>
      <x:c r="O68" s="3"/>
      <x:c r="P68" s="3"/>
      <x:c r="Q68" s="3"/>
      <x:c r="R68" s="3"/>
    </x:row>
    <x:row r="69" ht="34" customHeight="1">
      <x:c r="A69" s="46"/>
      <x:c r="B69" s="46"/>
      <x:c r="C69" s="46"/>
      <x:c r="D69" s="46"/>
      <x:c r="E69" s="46"/>
      <x:c r="F69" s="46"/>
      <x:c r="G69" s="46"/>
      <x:c r="H69" s="88"/>
      <x:c r="I69" s="3"/>
      <x:c r="J69" s="3"/>
      <x:c r="K69" s="3"/>
      <x:c r="L69" s="3"/>
      <x:c r="M69" s="3"/>
      <x:c r="N69" s="3"/>
      <x:c r="O69" s="3"/>
      <x:c r="P69" s="3"/>
      <x:c r="Q69" s="3"/>
      <x:c r="R69" s="3"/>
    </x:row>
    <x:row r="70" ht="34" customHeight="1">
      <x:c r="A70" s="46"/>
      <x:c r="B70" s="46"/>
      <x:c r="C70" s="46"/>
      <x:c r="D70" s="46"/>
      <x:c r="E70" s="46"/>
      <x:c r="F70" s="46"/>
      <x:c r="G70" s="46"/>
      <x:c r="H70" s="88"/>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A06</x:v>
      </x:c>
      <x:c r="B110" s="34"/>
      <x:c r="C110" s="34"/>
      <x:c r="D110" s="34"/>
      <x:c r="E110" s="34"/>
      <x:c r="F110" s="34"/>
      <x:c r="G110" s="34"/>
      <x:c r="H110" s="34"/>
      <x:c r="I110" s="34"/>
      <x:c r="J110" s="34"/>
      <x:c r="K110" s="34"/>
      <x:c r="L110" s="34"/>
      <x:c r="M110" s="3"/>
      <x:c r="N110" s="3"/>
      <x:c r="O110" s="3"/>
      <x:c r="P110" s="3"/>
      <x:c r="Q110" s="3"/>
      <x:c r="R110" s="3"/>
    </x:row>
    <x:row r="111" ht="20" customHeight="1">
      <x:c r="A111" s="40" t="str">
        <x:v>01  Benefit and classification</x:v>
      </x:c>
      <x:c r="B111" s="40"/>
      <x:c r="C111" s="40"/>
      <x:c r="D111" s="17" t="str">
        <x:v>Name the change in useful outcomes.</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Baseline and evidence</x:v>
      </x:c>
      <x:c r="B117" s="40"/>
      <x:c r="C117" s="40"/>
      <x:c r="D117" s="17" t="str">
        <x:v>Record the measured basis and limitations.</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Volume and calculation</x:v>
      </x:c>
      <x:c r="B123" s="40"/>
      <x:c r="C123" s="40"/>
      <x:c r="D123" s="17" t="str">
        <x:v>Show units and assumptions.</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Valuation and costs</x:v>
      </x:c>
      <x:c r="B129" s="40"/>
      <x:c r="C129" s="40"/>
      <x:c r="D129" s="17" t="str">
        <x:v>Separate financial categories.</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Owner and use</x:v>
      </x:c>
      <x:c r="B135" s="40"/>
      <x:c r="C135" s="40"/>
      <x:c r="D135" s="17" t="str">
        <x:v>Identify who realises the benefit.</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Review and status</x:v>
      </x:c>
      <x:c r="B141" s="40"/>
      <x:c r="C141" s="40"/>
      <x:c r="D141" s="17" t="str">
        <x:v>Record forecast versus realised evidence.</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Do not convert elapsed waiting time directly into staff cost savings. Do not add cash savings and the same capacity value together. A loaded hourly rate is an assumption, not evidence of an avoidable payroll cost.</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S11, A07, C06  |  METHOD SOURCES: R03, U01</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 ref="A26:L30"/>
  </x:mergeCells>
  <x:dataValidations count="1">
    <x:dataValidation type="list" sqref="G36:G70">
      <x:formula1>"Proposed,Estimated,Measured,Realised,Not supported"</x:formula1>
    </x:dataValidation>
  </x:dataValidations>
  <x:pageMargins left="0.7" right="0.7" top="0.75" bottom="0.75" header="0.3" footer="0.3"/>
</x:worksheet>
</file>

<file path=xl/worksheets/sheet47.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A07  Operating handover and sustainment agreement</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Transfer ownership, capability and response arrangements into normal work.</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A07</x:v>
      </x:c>
      <x:c r="B9" s="34"/>
      <x:c r="C9" s="34"/>
      <x:c r="D9" s="34"/>
      <x:c r="E9" s="34"/>
      <x:c r="F9" s="34"/>
      <x:c r="G9" s="34"/>
      <x:c r="H9" s="34"/>
      <x:c r="I9" s="34"/>
      <x:c r="J9" s="34"/>
      <x:c r="K9" s="34"/>
      <x:c r="L9" s="34"/>
      <x:c r="M9" s="3"/>
      <x:c r="N9" s="3"/>
      <x:c r="O9" s="3"/>
      <x:c r="P9" s="3"/>
      <x:c r="Q9" s="3"/>
      <x:c r="R9" s="3"/>
    </x:row>
    <x:row r="10" ht="20" customHeight="1">
      <x:c r="A10" s="40" t="str">
        <x:v>01  Process and version</x:v>
      </x:c>
      <x:c r="B10" s="40"/>
      <x:c r="C10" s="40"/>
      <x:c r="D10" s="17" t="str">
        <x:v>Identify what is accepted.</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Capability and demonstration</x:v>
      </x:c>
      <x:c r="B16" s="40"/>
      <x:c r="C16" s="40"/>
      <x:c r="D16" s="17" t="str">
        <x:v>Record training and observed practice.</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Assets and ownership</x:v>
      </x:c>
      <x:c r="B22" s="40"/>
      <x:c r="C22" s="40"/>
      <x:c r="D22" s="17" t="str">
        <x:v>Transfer standards, systems and data responsibilities.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Residual work and risk</x:v>
      </x:c>
      <x:c r="B28" s="40"/>
      <x:c r="C28" s="40"/>
      <x:c r="D28" s="17" t="str">
        <x:v>Record receiving acceptance.</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Support and review</x:v>
      </x:c>
      <x:c r="B34" s="40"/>
      <x:c r="C34" s="40"/>
      <x:c r="D34" s="17" t="str">
        <x:v>Specify early-life help and follow-up.</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Acceptance and closure</x:v>
      </x:c>
      <x:c r="B40" s="40"/>
      <x:c r="C40" s="40"/>
      <x:c r="D40" s="17" t="str">
        <x:v>Record approval and conditions.</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Do not close residual risks by changing their status to transferred unless the receiving owner accepts them. Access rights and sensitive records require the organisation's approved handling arrangements.</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A08, C01, C04  |  METHOD SOURCES: R35, R36</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48.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A08  Improvement learning report and closure</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Tell the complete improvement story, including unsuccessful tests and remaining uncertainty.</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A08</x:v>
      </x:c>
      <x:c r="B9" s="34"/>
      <x:c r="C9" s="34"/>
      <x:c r="D9" s="34"/>
      <x:c r="E9" s="34"/>
      <x:c r="F9" s="34"/>
      <x:c r="G9" s="34"/>
      <x:c r="H9" s="34"/>
      <x:c r="I9" s="34"/>
      <x:c r="J9" s="34"/>
      <x:c r="K9" s="34"/>
      <x:c r="L9" s="34"/>
      <x:c r="M9" s="3"/>
      <x:c r="N9" s="3"/>
      <x:c r="O9" s="3"/>
      <x:c r="P9" s="3"/>
      <x:c r="Q9" s="3"/>
      <x:c r="R9" s="3"/>
    </x:row>
    <x:row r="10" ht="20" customHeight="1">
      <x:c r="A10" s="40" t="str">
        <x:v>01  Starting point</x:v>
      </x:c>
      <x:c r="B10" s="40"/>
      <x:c r="C10" s="40"/>
      <x:c r="D10" s="17" t="str">
        <x:v>Summarise problem, scope and baseline.</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Learning journey</x:v>
      </x:c>
      <x:c r="B16" s="40"/>
      <x:c r="C16" s="40"/>
      <x:c r="D16" s="17" t="str">
        <x:v>Describe the sequence and changed thinking.</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Results and limits</x:v>
      </x:c>
      <x:c r="B22" s="40"/>
      <x:c r="C22" s="40"/>
      <x:c r="D22" s="17" t="str">
        <x:v>Report evidence without causal exaggeration.</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Operating method</x:v>
      </x:c>
      <x:c r="B28" s="40"/>
      <x:c r="C28" s="40"/>
      <x:c r="D28" s="17" t="str">
        <x:v>Identify the accepted or proposed standard.</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Ownership and benefits</x:v>
      </x:c>
      <x:c r="B34" s="40"/>
      <x:c r="C34" s="40"/>
      <x:c r="D34" s="17" t="str">
        <x:v>Confirm who carries the work forward.</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Lessons and decision</x:v>
      </x:c>
      <x:c r="B40" s="40"/>
      <x:c r="C40" s="40"/>
      <x:c r="D40" s="17" t="str">
        <x:v>State what another team should learn.</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Never present the fictional case as a real client success. In live work, remove identifying details appropriately and obtain permission before publication. Do not erase early failed tests from the improvement story.</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C06, P01  |  METHOD SOURCES: U01, R02, R35</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49.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V01  Lean improvement charter and True North</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Connect a worthwhile process problem to user value, quality and respect for people.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V01</x:v>
      </x:c>
      <x:c r="B9" s="34"/>
      <x:c r="C9" s="34"/>
      <x:c r="D9" s="34"/>
      <x:c r="E9" s="34"/>
      <x:c r="F9" s="34"/>
      <x:c r="G9" s="34"/>
      <x:c r="H9" s="34"/>
      <x:c r="I9" s="34"/>
      <x:c r="J9" s="34"/>
      <x:c r="K9" s="34"/>
      <x:c r="L9" s="34"/>
      <x:c r="M9" s="3"/>
      <x:c r="N9" s="3"/>
      <x:c r="O9" s="3"/>
      <x:c r="P9" s="3"/>
      <x:c r="Q9" s="3"/>
      <x:c r="R9" s="3"/>
    </x:row>
    <x:row r="10" ht="20" customHeight="1">
      <x:c r="A10" s="40" t="str">
        <x:v>01  Value and True North</x:v>
      </x:c>
      <x:c r="B10" s="40"/>
      <x:c r="C10" s="40"/>
      <x:c r="D10" s="17" t="str">
        <x:v>Define the useful long-term direction.</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Observed gap</x:v>
      </x:c>
      <x:c r="B16" s="40"/>
      <x:c r="C16" s="40"/>
      <x:c r="D16" s="17" t="str">
        <x:v>State evidence rather than a preferred solution.</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Scope and family</x:v>
      </x:c>
      <x:c r="B22" s="40"/>
      <x:c r="C22" s="40"/>
      <x:c r="D22" s="17" t="str">
        <x:v>Identify start, finish and exclusions.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People and controls</x:v>
      </x:c>
      <x:c r="B28" s="40"/>
      <x:c r="C28" s="40"/>
      <x:c r="D28" s="17" t="str">
        <x:v>Identify involvement and non-negotiables.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Aim and measures</x:v>
      </x:c>
      <x:c r="B34" s="40"/>
      <x:c r="C34" s="40"/>
      <x:c r="D34" s="17" t="str">
        <x:v>Balance service, quality and workload.</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Authority and learning</x:v>
      </x:c>
      <x:c r="B40" s="40"/>
      <x:c r="C40" s="40"/>
      <x:c r="D40" s="17" t="str">
        <x:v>Set ownership and the first step.</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Do not interpret respect for people as avoiding difficult evidence, or improvement as intensifying work indefinitely. Necessary legal, safety, privacy and quality controls must be redesigned with their owners, not labelled waste and removed.</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V02, V04, V03  |  METHOD SOURCES: U02, U03, R12, R14</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50.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V02  Voice of the customer and CTQ translation</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Turn user needs into observable critical-to-quality requirements.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V02</x:v>
      </x:c>
      <x:c r="B9" s="34"/>
      <x:c r="C9" s="34"/>
      <x:c r="D9" s="34"/>
      <x:c r="E9" s="34"/>
      <x:c r="F9" s="34"/>
      <x:c r="G9" s="34"/>
      <x:c r="H9" s="34"/>
      <x:c r="I9" s="34"/>
      <x:c r="J9" s="34"/>
      <x:c r="K9" s="34"/>
      <x:c r="L9" s="34"/>
      <x:c r="M9" s="3"/>
      <x:c r="N9" s="3"/>
      <x:c r="O9" s="3"/>
      <x:c r="P9" s="3"/>
      <x:c r="Q9" s="3"/>
      <x:c r="R9" s="3"/>
    </x:row>
    <x:row r="10" ht="20" customHeight="1">
      <x:c r="A10" s="40" t="str">
        <x:v>01  User voice</x:v>
      </x:c>
      <x:c r="B10" s="40"/>
      <x:c r="C10" s="40"/>
      <x:c r="D10" s="17" t="str">
        <x:v>Record an anonymised account and context.</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Underlying need</x:v>
      </x:c>
      <x:c r="B16" s="40"/>
      <x:c r="C16" s="40"/>
      <x:c r="D16" s="17" t="str">
        <x:v>Explain the outcome behind the request.</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Quality characteristic</x:v>
      </x:c>
      <x:c r="B22" s="40"/>
      <x:c r="C22" s="40"/>
      <x:c r="D22" s="17" t="str">
        <x:v>Translate the need into an observable feature.</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Measure and definition</x:v>
      </x:c>
      <x:c r="B28" s="40"/>
      <x:c r="C28" s="40"/>
      <x:c r="D28" s="17" t="str">
        <x:v>Specify unit, source and requirement.</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Conflicts and safeguards</x:v>
      </x:c>
      <x:c r="B34" s="40"/>
      <x:c r="C34" s="40"/>
      <x:c r="D34" s="17" t="str">
        <x:v>Identify competing needs and constraints.</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Validation and test</x:v>
      </x:c>
      <x:c r="B40" s="40"/>
      <x:c r="C40" s="40"/>
      <x:c r="D40" s="17" t="str">
        <x:v>Confirm the interpretation and next learning step.</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A CTQ threshold must come from a justified requirement or agreed local aim, not a convenient round number presented as a universal standard. A requirement for secure delivery cannot be traded away by a weighted priority score.</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P03, P06, V03  |  METHOD SOURCES: U04, R03, R11</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4" t="str">
        <x:v>LIVE WORKING REGISTER | Add evidence, ownership and a review date.</x:v>
      </x:c>
      <x:c r="B53" s="34"/>
      <x:c r="C53" s="34"/>
      <x:c r="D53" s="34"/>
      <x:c r="E53" s="34"/>
      <x:c r="F53" s="34"/>
      <x:c r="G53" s="34"/>
      <x:c r="H53" s="34"/>
      <x:c r="I53" s="34"/>
      <x:c r="J53" s="34"/>
      <x:c r="K53" s="34"/>
      <x:c r="L53" s="34"/>
      <x:c r="M53" s="3"/>
      <x:c r="N53" s="3"/>
      <x:c r="O53" s="3"/>
      <x:c r="P53" s="3"/>
      <x:c r="Q53" s="3"/>
      <x:c r="R53" s="3"/>
    </x:row>
    <x:row r="54" ht="20" customHeight="1">
      <x:c r="A54" s="34"/>
      <x:c r="B54" s="34"/>
      <x:c r="C54" s="34"/>
      <x:c r="D54" s="34"/>
      <x:c r="E54" s="34"/>
      <x:c r="F54" s="34"/>
      <x:c r="G54" s="34"/>
      <x:c r="H54" s="34"/>
      <x:c r="I54" s="34"/>
      <x:c r="J54" s="34"/>
      <x:c r="K54" s="34"/>
      <x:c r="L54" s="34"/>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38" customHeight="1">
      <x:c r="A56" s="77" t="str">
        <x:v>User group</x:v>
      </x:c>
      <x:c r="B56" s="77" t="str">
        <x:v>Need in user's words</x:v>
      </x:c>
      <x:c r="C56" s="77" t="str">
        <x:v>Critical requirement</x:v>
      </x:c>
      <x:c r="D56" s="77" t="str">
        <x:v>Observable specification</x:v>
      </x:c>
      <x:c r="E56" s="77" t="str">
        <x:v>Measure</x:v>
      </x:c>
      <x:c r="F56" s="77" t="str">
        <x:v>Validation evidence</x:v>
      </x:c>
      <x:c r="G56" s="77" t="str">
        <x:v>Trade-off/control</x:v>
      </x:c>
      <x:c r="H56" s="3"/>
      <x:c r="I56" s="3"/>
      <x:c r="J56" s="3"/>
      <x:c r="K56" s="3"/>
      <x:c r="L56" s="3"/>
      <x:c r="M56" s="3"/>
      <x:c r="N56" s="3"/>
      <x:c r="O56" s="3"/>
      <x:c r="P56" s="3"/>
      <x:c r="Q56" s="3"/>
      <x:c r="R56" s="3"/>
    </x:row>
    <x:row r="57" ht="34" customHeight="1">
      <x:c r="A57" s="46"/>
      <x:c r="B57" s="46"/>
      <x:c r="C57" s="46"/>
      <x:c r="D57" s="46"/>
      <x:c r="E57" s="46"/>
      <x:c r="F57" s="46"/>
      <x:c r="G57" s="46"/>
      <x:c r="H57" s="3"/>
      <x:c r="I57" s="3"/>
      <x:c r="J57" s="3"/>
      <x:c r="K57" s="3"/>
      <x:c r="L57" s="3"/>
      <x:c r="M57" s="3"/>
      <x:c r="N57" s="3"/>
      <x:c r="O57" s="3"/>
      <x:c r="P57" s="3"/>
      <x:c r="Q57" s="3"/>
      <x:c r="R57" s="3"/>
    </x:row>
    <x:row r="58" ht="34" customHeight="1">
      <x:c r="A58" s="46"/>
      <x:c r="B58" s="46"/>
      <x:c r="C58" s="46"/>
      <x:c r="D58" s="46"/>
      <x:c r="E58" s="46"/>
      <x:c r="F58" s="46"/>
      <x:c r="G58" s="46"/>
      <x:c r="H58" s="3"/>
      <x:c r="I58" s="3"/>
      <x:c r="J58" s="3"/>
      <x:c r="K58" s="3"/>
      <x:c r="L58" s="3"/>
      <x:c r="M58" s="3"/>
      <x:c r="N58" s="3"/>
      <x:c r="O58" s="3"/>
      <x:c r="P58" s="3"/>
      <x:c r="Q58" s="3"/>
      <x:c r="R58" s="3"/>
    </x:row>
    <x:row r="59" ht="34" customHeight="1">
      <x:c r="A59" s="46"/>
      <x:c r="B59" s="46"/>
      <x:c r="C59" s="46"/>
      <x:c r="D59" s="46"/>
      <x:c r="E59" s="46"/>
      <x:c r="F59" s="46"/>
      <x:c r="G59" s="46"/>
      <x:c r="H59" s="3"/>
      <x:c r="I59" s="3"/>
      <x:c r="J59" s="3"/>
      <x:c r="K59" s="3"/>
      <x:c r="L59" s="3"/>
      <x:c r="M59" s="3"/>
      <x:c r="N59" s="3"/>
      <x:c r="O59" s="3"/>
      <x:c r="P59" s="3"/>
      <x:c r="Q59" s="3"/>
      <x:c r="R59" s="3"/>
    </x:row>
    <x:row r="60" ht="34" customHeight="1">
      <x:c r="A60" s="46"/>
      <x:c r="B60" s="46"/>
      <x:c r="C60" s="46"/>
      <x:c r="D60" s="46"/>
      <x:c r="E60" s="46"/>
      <x:c r="F60" s="46"/>
      <x:c r="G60" s="46"/>
      <x:c r="H60" s="3"/>
      <x:c r="I60" s="3"/>
      <x:c r="J60" s="3"/>
      <x:c r="K60" s="3"/>
      <x:c r="L60" s="3"/>
      <x:c r="M60" s="3"/>
      <x:c r="N60" s="3"/>
      <x:c r="O60" s="3"/>
      <x:c r="P60" s="3"/>
      <x:c r="Q60" s="3"/>
      <x:c r="R60" s="3"/>
    </x:row>
    <x:row r="61" ht="34" customHeight="1">
      <x:c r="A61" s="46"/>
      <x:c r="B61" s="46"/>
      <x:c r="C61" s="46"/>
      <x:c r="D61" s="46"/>
      <x:c r="E61" s="46"/>
      <x:c r="F61" s="46"/>
      <x:c r="G61" s="46"/>
      <x:c r="H61" s="3"/>
      <x:c r="I61" s="3"/>
      <x:c r="J61" s="3"/>
      <x:c r="K61" s="3"/>
      <x:c r="L61" s="3"/>
      <x:c r="M61" s="3"/>
      <x:c r="N61" s="3"/>
      <x:c r="O61" s="3"/>
      <x:c r="P61" s="3"/>
      <x:c r="Q61" s="3"/>
      <x:c r="R61" s="3"/>
    </x:row>
    <x:row r="62" ht="34" customHeight="1">
      <x:c r="A62" s="46"/>
      <x:c r="B62" s="46"/>
      <x:c r="C62" s="46"/>
      <x:c r="D62" s="46"/>
      <x:c r="E62" s="46"/>
      <x:c r="F62" s="46"/>
      <x:c r="G62" s="46"/>
      <x:c r="H62" s="3"/>
      <x:c r="I62" s="3"/>
      <x:c r="J62" s="3"/>
      <x:c r="K62" s="3"/>
      <x:c r="L62" s="3"/>
      <x:c r="M62" s="3"/>
      <x:c r="N62" s="3"/>
      <x:c r="O62" s="3"/>
      <x:c r="P62" s="3"/>
      <x:c r="Q62" s="3"/>
      <x:c r="R62" s="3"/>
    </x:row>
    <x:row r="63" ht="34" customHeight="1">
      <x:c r="A63" s="46"/>
      <x:c r="B63" s="46"/>
      <x:c r="C63" s="46"/>
      <x:c r="D63" s="46"/>
      <x:c r="E63" s="46"/>
      <x:c r="F63" s="46"/>
      <x:c r="G63" s="46"/>
      <x:c r="H63" s="3"/>
      <x:c r="I63" s="3"/>
      <x:c r="J63" s="3"/>
      <x:c r="K63" s="3"/>
      <x:c r="L63" s="3"/>
      <x:c r="M63" s="3"/>
      <x:c r="N63" s="3"/>
      <x:c r="O63" s="3"/>
      <x:c r="P63" s="3"/>
      <x:c r="Q63" s="3"/>
      <x:c r="R63" s="3"/>
    </x:row>
    <x:row r="64" ht="34" customHeight="1">
      <x:c r="A64" s="46"/>
      <x:c r="B64" s="46"/>
      <x:c r="C64" s="46"/>
      <x:c r="D64" s="46"/>
      <x:c r="E64" s="46"/>
      <x:c r="F64" s="46"/>
      <x:c r="G64" s="46"/>
      <x:c r="H64" s="3"/>
      <x:c r="I64" s="3"/>
      <x:c r="J64" s="3"/>
      <x:c r="K64" s="3"/>
      <x:c r="L64" s="3"/>
      <x:c r="M64" s="3"/>
      <x:c r="N64" s="3"/>
      <x:c r="O64" s="3"/>
      <x:c r="P64" s="3"/>
      <x:c r="Q64" s="3"/>
      <x:c r="R64" s="3"/>
    </x:row>
    <x:row r="65" ht="34" customHeight="1">
      <x:c r="A65" s="46"/>
      <x:c r="B65" s="46"/>
      <x:c r="C65" s="46"/>
      <x:c r="D65" s="46"/>
      <x:c r="E65" s="46"/>
      <x:c r="F65" s="46"/>
      <x:c r="G65" s="46"/>
      <x:c r="H65" s="3"/>
      <x:c r="I65" s="3"/>
      <x:c r="J65" s="3"/>
      <x:c r="K65" s="3"/>
      <x:c r="L65" s="3"/>
      <x:c r="M65" s="3"/>
      <x:c r="N65" s="3"/>
      <x:c r="O65" s="3"/>
      <x:c r="P65" s="3"/>
      <x:c r="Q65" s="3"/>
      <x:c r="R65" s="3"/>
    </x:row>
    <x:row r="66" ht="34" customHeight="1">
      <x:c r="A66" s="46"/>
      <x:c r="B66" s="46"/>
      <x:c r="C66" s="46"/>
      <x:c r="D66" s="46"/>
      <x:c r="E66" s="46"/>
      <x:c r="F66" s="46"/>
      <x:c r="G66" s="46"/>
      <x:c r="H66" s="3"/>
      <x:c r="I66" s="3"/>
      <x:c r="J66" s="3"/>
      <x:c r="K66" s="3"/>
      <x:c r="L66" s="3"/>
      <x:c r="M66" s="3"/>
      <x:c r="N66" s="3"/>
      <x:c r="O66" s="3"/>
      <x:c r="P66" s="3"/>
      <x:c r="Q66" s="3"/>
      <x:c r="R66" s="3"/>
    </x:row>
    <x:row r="67" ht="34" customHeight="1">
      <x:c r="A67" s="46"/>
      <x:c r="B67" s="46"/>
      <x:c r="C67" s="46"/>
      <x:c r="D67" s="46"/>
      <x:c r="E67" s="46"/>
      <x:c r="F67" s="46"/>
      <x:c r="G67" s="46"/>
      <x:c r="H67" s="3"/>
      <x:c r="I67" s="3"/>
      <x:c r="J67" s="3"/>
      <x:c r="K67" s="3"/>
      <x:c r="L67" s="3"/>
      <x:c r="M67" s="3"/>
      <x:c r="N67" s="3"/>
      <x:c r="O67" s="3"/>
      <x:c r="P67" s="3"/>
      <x:c r="Q67" s="3"/>
      <x:c r="R67" s="3"/>
    </x:row>
    <x:row r="68" ht="34" customHeight="1">
      <x:c r="A68" s="46"/>
      <x:c r="B68" s="46"/>
      <x:c r="C68" s="46"/>
      <x:c r="D68" s="46"/>
      <x:c r="E68" s="46"/>
      <x:c r="F68" s="46"/>
      <x:c r="G68" s="46"/>
      <x:c r="H68" s="3"/>
      <x:c r="I68" s="3"/>
      <x:c r="J68" s="3"/>
      <x:c r="K68" s="3"/>
      <x:c r="L68" s="3"/>
      <x:c r="M68" s="3"/>
      <x:c r="N68" s="3"/>
      <x:c r="O68" s="3"/>
      <x:c r="P68" s="3"/>
      <x:c r="Q68" s="3"/>
      <x:c r="R68" s="3"/>
    </x:row>
    <x:row r="69" ht="34" customHeight="1">
      <x:c r="A69" s="46"/>
      <x:c r="B69" s="46"/>
      <x:c r="C69" s="46"/>
      <x:c r="D69" s="46"/>
      <x:c r="E69" s="46"/>
      <x:c r="F69" s="46"/>
      <x:c r="G69" s="46"/>
      <x:c r="H69" s="3"/>
      <x:c r="I69" s="3"/>
      <x:c r="J69" s="3"/>
      <x:c r="K69" s="3"/>
      <x:c r="L69" s="3"/>
      <x:c r="M69" s="3"/>
      <x:c r="N69" s="3"/>
      <x:c r="O69" s="3"/>
      <x:c r="P69" s="3"/>
      <x:c r="Q69" s="3"/>
      <x:c r="R69" s="3"/>
    </x:row>
    <x:row r="70" ht="34" customHeight="1">
      <x:c r="A70" s="46"/>
      <x:c r="B70" s="46"/>
      <x:c r="C70" s="46"/>
      <x:c r="D70" s="46"/>
      <x:c r="E70" s="46"/>
      <x:c r="F70" s="46"/>
      <x:c r="G70" s="46"/>
      <x:c r="H70" s="3"/>
      <x:c r="I70" s="3"/>
      <x:c r="J70" s="3"/>
      <x:c r="K70" s="3"/>
      <x:c r="L70" s="3"/>
      <x:c r="M70" s="3"/>
      <x:c r="N70" s="3"/>
      <x:c r="O70" s="3"/>
      <x:c r="P70" s="3"/>
      <x:c r="Q70" s="3"/>
      <x:c r="R70" s="3"/>
    </x:row>
    <x:row r="71" ht="34" customHeight="1">
      <x:c r="A71" s="46"/>
      <x:c r="B71" s="46"/>
      <x:c r="C71" s="46"/>
      <x:c r="D71" s="46"/>
      <x:c r="E71" s="46"/>
      <x:c r="F71" s="46"/>
      <x:c r="G71" s="46"/>
      <x:c r="H71" s="3"/>
      <x:c r="I71" s="3"/>
      <x:c r="J71" s="3"/>
      <x:c r="K71" s="3"/>
      <x:c r="L71" s="3"/>
      <x:c r="M71" s="3"/>
      <x:c r="N71" s="3"/>
      <x:c r="O71" s="3"/>
      <x:c r="P71" s="3"/>
      <x:c r="Q71" s="3"/>
      <x:c r="R71" s="3"/>
    </x:row>
    <x:row r="72" ht="34" customHeight="1">
      <x:c r="A72" s="46"/>
      <x:c r="B72" s="46"/>
      <x:c r="C72" s="46"/>
      <x:c r="D72" s="46"/>
      <x:c r="E72" s="46"/>
      <x:c r="F72" s="46"/>
      <x:c r="G72" s="46"/>
      <x:c r="H72" s="3"/>
      <x:c r="I72" s="3"/>
      <x:c r="J72" s="3"/>
      <x:c r="K72" s="3"/>
      <x:c r="L72" s="3"/>
      <x:c r="M72" s="3"/>
      <x:c r="N72" s="3"/>
      <x:c r="O72" s="3"/>
      <x:c r="P72" s="3"/>
      <x:c r="Q72" s="3"/>
      <x:c r="R72" s="3"/>
    </x:row>
    <x:row r="73" ht="34" customHeight="1">
      <x:c r="A73" s="46"/>
      <x:c r="B73" s="46"/>
      <x:c r="C73" s="46"/>
      <x:c r="D73" s="46"/>
      <x:c r="E73" s="46"/>
      <x:c r="F73" s="46"/>
      <x:c r="G73" s="46"/>
      <x:c r="H73" s="3"/>
      <x:c r="I73" s="3"/>
      <x:c r="J73" s="3"/>
      <x:c r="K73" s="3"/>
      <x:c r="L73" s="3"/>
      <x:c r="M73" s="3"/>
      <x:c r="N73" s="3"/>
      <x:c r="O73" s="3"/>
      <x:c r="P73" s="3"/>
      <x:c r="Q73" s="3"/>
      <x:c r="R73" s="3"/>
    </x:row>
    <x:row r="74" ht="34" customHeight="1">
      <x:c r="A74" s="46"/>
      <x:c r="B74" s="46"/>
      <x:c r="C74" s="46"/>
      <x:c r="D74" s="46"/>
      <x:c r="E74" s="46"/>
      <x:c r="F74" s="46"/>
      <x:c r="G74" s="46"/>
      <x:c r="H74" s="3"/>
      <x:c r="I74" s="3"/>
      <x:c r="J74" s="3"/>
      <x:c r="K74" s="3"/>
      <x:c r="L74" s="3"/>
      <x:c r="M74" s="3"/>
      <x:c r="N74" s="3"/>
      <x:c r="O74" s="3"/>
      <x:c r="P74" s="3"/>
      <x:c r="Q74" s="3"/>
      <x:c r="R74" s="3"/>
    </x:row>
    <x:row r="75" ht="34" customHeight="1">
      <x:c r="A75" s="46"/>
      <x:c r="B75" s="46"/>
      <x:c r="C75" s="46"/>
      <x:c r="D75" s="46"/>
      <x:c r="E75" s="46"/>
      <x:c r="F75" s="46"/>
      <x:c r="G75" s="46"/>
      <x:c r="H75" s="3"/>
      <x:c r="I75" s="3"/>
      <x:c r="J75" s="3"/>
      <x:c r="K75" s="3"/>
      <x:c r="L75" s="3"/>
      <x:c r="M75" s="3"/>
      <x:c r="N75" s="3"/>
      <x:c r="O75" s="3"/>
      <x:c r="P75" s="3"/>
      <x:c r="Q75" s="3"/>
      <x:c r="R75" s="3"/>
    </x:row>
    <x:row r="76" ht="34" customHeight="1">
      <x:c r="A76" s="46"/>
      <x:c r="B76" s="46"/>
      <x:c r="C76" s="46"/>
      <x:c r="D76" s="46"/>
      <x:c r="E76" s="46"/>
      <x:c r="F76" s="46"/>
      <x:c r="G76" s="46"/>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136" t="str">
        <x:v>Record facts separately from hypotheses. A populated row is not approval: keep the decision authority and supporting evidence explicit. Review access controls before entering identifiable or sensitive information.</x:v>
      </x:c>
      <x:c r="B79" s="136"/>
      <x:c r="C79" s="136"/>
      <x:c r="D79" s="136"/>
      <x:c r="E79" s="136"/>
      <x:c r="F79" s="136"/>
      <x:c r="G79" s="136"/>
      <x:c r="H79" s="136"/>
      <x:c r="I79" s="136"/>
      <x:c r="J79" s="136"/>
      <x:c r="K79" s="136"/>
      <x:c r="L79" s="136"/>
      <x:c r="M79" s="3"/>
      <x:c r="N79" s="3"/>
      <x:c r="O79" s="3"/>
      <x:c r="P79" s="3"/>
      <x:c r="Q79" s="3"/>
      <x:c r="R79" s="3"/>
    </x:row>
    <x:row r="80" ht="20" customHeight="1">
      <x:c r="A80" s="136"/>
      <x:c r="B80" s="136"/>
      <x:c r="C80" s="136"/>
      <x:c r="D80" s="136"/>
      <x:c r="E80" s="136"/>
      <x:c r="F80" s="136"/>
      <x:c r="G80" s="136"/>
      <x:c r="H80" s="136"/>
      <x:c r="I80" s="136"/>
      <x:c r="J80" s="136"/>
      <x:c r="K80" s="136"/>
      <x:c r="L80" s="136"/>
      <x:c r="M80" s="3"/>
      <x:c r="N80" s="3"/>
      <x:c r="O80" s="3"/>
      <x:c r="P80" s="3"/>
      <x:c r="Q80" s="3"/>
      <x:c r="R80" s="3"/>
    </x:row>
    <x:row r="81" ht="20" customHeight="1">
      <x:c r="A81" s="136"/>
      <x:c r="B81" s="136"/>
      <x:c r="C81" s="136"/>
      <x:c r="D81" s="136"/>
      <x:c r="E81" s="136"/>
      <x:c r="F81" s="136"/>
      <x:c r="G81" s="136"/>
      <x:c r="H81" s="136"/>
      <x:c r="I81" s="136"/>
      <x:c r="J81" s="136"/>
      <x:c r="K81" s="136"/>
      <x:c r="L81" s="136"/>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 ref="A53:L54"/>
    <x:mergeCell ref="A79:L81"/>
  </x:mergeCells>
  <x:pageMargins left="0.7" right="0.7" top="0.75" bottom="0.75" header="0.3" footer="0.3"/>
</x:worksheet>
</file>

<file path=xl/worksheets/sheet51.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V03  A3 problem-solving and coaching record</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Build a concise, evidence-led problem-solving story on one connected canvas.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V03</x:v>
      </x:c>
      <x:c r="B9" s="34"/>
      <x:c r="C9" s="34"/>
      <x:c r="D9" s="34"/>
      <x:c r="E9" s="34"/>
      <x:c r="F9" s="34"/>
      <x:c r="G9" s="34"/>
      <x:c r="H9" s="34"/>
      <x:c r="I9" s="34"/>
      <x:c r="J9" s="34"/>
      <x:c r="K9" s="34"/>
      <x:c r="L9" s="34"/>
      <x:c r="M9" s="3"/>
      <x:c r="N9" s="3"/>
      <x:c r="O9" s="3"/>
      <x:c r="P9" s="3"/>
      <x:c r="Q9" s="3"/>
      <x:c r="R9" s="3"/>
    </x:row>
    <x:row r="10" ht="20" customHeight="1">
      <x:c r="A10" s="40" t="str">
        <x:v>01  Background and problem</x:v>
      </x:c>
      <x:c r="B10" s="40"/>
      <x:c r="C10" s="40"/>
      <x:c r="D10" s="17" t="str">
        <x:v>Explain purpose, boundary and importance.</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Current condition and goal</x:v>
      </x:c>
      <x:c r="B16" s="40"/>
      <x:c r="C16" s="40"/>
      <x:c r="D16" s="17" t="str">
        <x:v>Show the baseline and desired condition.</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Analysis</x:v>
      </x:c>
      <x:c r="B22" s="40"/>
      <x:c r="C22" s="40"/>
      <x:c r="D22" s="17" t="str">
        <x:v>Connect observed causes with evidence.</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Countermeasures and tests</x:v>
      </x:c>
      <x:c r="B28" s="40"/>
      <x:c r="C28" s="40"/>
      <x:c r="D28" s="17" t="str">
        <x:v>Link changes to predictions and owners.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Results and learning</x:v>
      </x:c>
      <x:c r="B34" s="40"/>
      <x:c r="C34" s="40"/>
      <x:c r="D34" s="17" t="str">
        <x:v>Summarise measured evidence and limitations.</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Follow-up and ownership</x:v>
      </x:c>
      <x:c r="B40" s="40"/>
      <x:c r="C40" s="40"/>
      <x:c r="D40" s="17" t="str">
        <x:v>State the next decision and control.</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An attractive A3 can conceal weak evidence. Do not compress away uncertainty, dissent or balancing effects. The one-page summary should link to supporting records; it does not replace the actual data or cycle history.</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M02, P13, S12, A01  |  METHOD SOURCES: U02, U04, R15</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122" t="str">
        <x:v>A3 PROBLEM-SOLVING CANVAS | Expand as needed for a facilitated A3-sized working session.</x:v>
      </x:c>
      <x:c r="B54" s="122"/>
      <x:c r="C54" s="122"/>
      <x:c r="D54" s="122"/>
      <x:c r="E54" s="122"/>
      <x:c r="F54" s="122"/>
      <x:c r="G54" s="122"/>
      <x:c r="H54" s="122"/>
      <x:c r="I54" s="122"/>
      <x:c r="J54" s="122"/>
      <x:c r="K54" s="122"/>
      <x:c r="L54" s="122"/>
      <x:c r="M54" s="3"/>
      <x:c r="N54" s="3"/>
      <x:c r="O54" s="3"/>
      <x:c r="P54" s="3"/>
      <x:c r="Q54" s="3"/>
      <x:c r="R54" s="3"/>
    </x:row>
    <x:row r="55" ht="20" customHeight="1">
      <x:c r="A55" s="122"/>
      <x:c r="B55" s="122"/>
      <x:c r="C55" s="122"/>
      <x:c r="D55" s="122"/>
      <x:c r="E55" s="122"/>
      <x:c r="F55" s="122"/>
      <x:c r="G55" s="122"/>
      <x:c r="H55" s="122"/>
      <x:c r="I55" s="122"/>
      <x:c r="J55" s="122"/>
      <x:c r="K55" s="122"/>
      <x:c r="L55" s="122"/>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4" t="str">
        <x:v>1 Background and problem</x:v>
      </x:c>
      <x:c r="B57" s="34"/>
      <x:c r="C57" s="34"/>
      <x:c r="D57" s="34"/>
      <x:c r="E57" s="34"/>
      <x:c r="F57" s="34"/>
      <x:c r="G57" s="34" t="str">
        <x:v>2 Current conditions</x:v>
      </x:c>
      <x:c r="H57" s="34"/>
      <x:c r="I57" s="34"/>
      <x:c r="J57" s="34"/>
      <x:c r="K57" s="34"/>
      <x:c r="L57" s="34"/>
      <x:c r="M57" s="3"/>
      <x:c r="N57" s="3"/>
      <x:c r="O57" s="3"/>
      <x:c r="P57" s="3"/>
      <x:c r="Q57" s="3"/>
      <x:c r="R57" s="3"/>
    </x:row>
    <x:row r="58" ht="20" customHeight="1">
      <x:c r="A58" s="34"/>
      <x:c r="B58" s="34"/>
      <x:c r="C58" s="34"/>
      <x:c r="D58" s="34"/>
      <x:c r="E58" s="34"/>
      <x:c r="F58" s="34"/>
      <x:c r="G58" s="34"/>
      <x:c r="H58" s="34"/>
      <x:c r="I58" s="34"/>
      <x:c r="J58" s="34"/>
      <x:c r="K58" s="34"/>
      <x:c r="L58" s="34"/>
      <x:c r="M58" s="3"/>
      <x:c r="N58" s="3"/>
      <x:c r="O58" s="3"/>
      <x:c r="P58" s="3"/>
      <x:c r="Q58" s="3"/>
      <x:c r="R58" s="3"/>
    </x:row>
    <x:row r="59" ht="20" customHeight="1">
      <x:c r="A59" s="136" t="str">
        <x:v>Why this matters; process boundary; user impact; evidence of the gap.</x:v>
      </x:c>
      <x:c r="B59" s="136"/>
      <x:c r="C59" s="136"/>
      <x:c r="D59" s="136"/>
      <x:c r="E59" s="136"/>
      <x:c r="F59" s="136"/>
      <x:c r="G59" s="136" t="str">
        <x:v>Observed route, queues, measures, visual map and evidence dates.</x:v>
      </x:c>
      <x:c r="H59" s="136"/>
      <x:c r="I59" s="136"/>
      <x:c r="J59" s="136"/>
      <x:c r="K59" s="136"/>
      <x:c r="L59" s="136"/>
      <x:c r="M59" s="3"/>
      <x:c r="N59" s="3"/>
      <x:c r="O59" s="3"/>
      <x:c r="P59" s="3"/>
      <x:c r="Q59" s="3"/>
      <x:c r="R59" s="3"/>
    </x:row>
    <x:row r="60" ht="20" customHeight="1">
      <x:c r="A60" s="136"/>
      <x:c r="B60" s="136"/>
      <x:c r="C60" s="136"/>
      <x:c r="D60" s="136"/>
      <x:c r="E60" s="136"/>
      <x:c r="F60" s="136"/>
      <x:c r="G60" s="136"/>
      <x:c r="H60" s="136"/>
      <x:c r="I60" s="136"/>
      <x:c r="J60" s="136"/>
      <x:c r="K60" s="136"/>
      <x:c r="L60" s="136"/>
      <x:c r="M60" s="3"/>
      <x:c r="N60" s="3"/>
      <x:c r="O60" s="3"/>
      <x:c r="P60" s="3"/>
      <x:c r="Q60" s="3"/>
      <x:c r="R60" s="3"/>
    </x:row>
    <x:row r="61" ht="20" customHeight="1">
      <x:c r="A61" s="144" t="str"/>
      <x:c r="B61" s="144"/>
      <x:c r="C61" s="144"/>
      <x:c r="D61" s="144"/>
      <x:c r="E61" s="144"/>
      <x:c r="F61" s="144"/>
      <x:c r="G61" s="144" t="str"/>
      <x:c r="H61" s="144"/>
      <x:c r="I61" s="144"/>
      <x:c r="J61" s="144"/>
      <x:c r="K61" s="144"/>
      <x:c r="L61" s="144"/>
      <x:c r="M61" s="3"/>
      <x:c r="N61" s="3"/>
      <x:c r="O61" s="3"/>
      <x:c r="P61" s="3"/>
      <x:c r="Q61" s="3"/>
      <x:c r="R61" s="3"/>
    </x:row>
    <x:row r="62" ht="20" customHeight="1">
      <x:c r="A62" s="144"/>
      <x:c r="B62" s="144"/>
      <x:c r="C62" s="144"/>
      <x:c r="D62" s="144"/>
      <x:c r="E62" s="144"/>
      <x:c r="F62" s="144"/>
      <x:c r="G62" s="144"/>
      <x:c r="H62" s="144"/>
      <x:c r="I62" s="144"/>
      <x:c r="J62" s="144"/>
      <x:c r="K62" s="144"/>
      <x:c r="L62" s="144"/>
      <x:c r="M62" s="3"/>
      <x:c r="N62" s="3"/>
      <x:c r="O62" s="3"/>
      <x:c r="P62" s="3"/>
      <x:c r="Q62" s="3"/>
      <x:c r="R62" s="3"/>
    </x:row>
    <x:row r="63" ht="20" customHeight="1">
      <x:c r="A63" s="144"/>
      <x:c r="B63" s="144"/>
      <x:c r="C63" s="144"/>
      <x:c r="D63" s="144"/>
      <x:c r="E63" s="144"/>
      <x:c r="F63" s="144"/>
      <x:c r="G63" s="144"/>
      <x:c r="H63" s="144"/>
      <x:c r="I63" s="144"/>
      <x:c r="J63" s="144"/>
      <x:c r="K63" s="144"/>
      <x:c r="L63" s="144"/>
      <x:c r="M63" s="3"/>
      <x:c r="N63" s="3"/>
      <x:c r="O63" s="3"/>
      <x:c r="P63" s="3"/>
      <x:c r="Q63" s="3"/>
      <x:c r="R63" s="3"/>
    </x:row>
    <x:row r="64" ht="20" customHeight="1">
      <x:c r="A64" s="144"/>
      <x:c r="B64" s="144"/>
      <x:c r="C64" s="144"/>
      <x:c r="D64" s="144"/>
      <x:c r="E64" s="144"/>
      <x:c r="F64" s="144"/>
      <x:c r="G64" s="144"/>
      <x:c r="H64" s="144"/>
      <x:c r="I64" s="144"/>
      <x:c r="J64" s="144"/>
      <x:c r="K64" s="144"/>
      <x:c r="L64" s="144"/>
      <x:c r="M64" s="3"/>
      <x:c r="N64" s="3"/>
      <x:c r="O64" s="3"/>
      <x:c r="P64" s="3"/>
      <x:c r="Q64" s="3"/>
      <x:c r="R64" s="3"/>
    </x:row>
    <x:row r="65" ht="20" customHeight="1">
      <x:c r="A65" s="144"/>
      <x:c r="B65" s="144"/>
      <x:c r="C65" s="144"/>
      <x:c r="D65" s="144"/>
      <x:c r="E65" s="144"/>
      <x:c r="F65" s="144"/>
      <x:c r="G65" s="144"/>
      <x:c r="H65" s="144"/>
      <x:c r="I65" s="144"/>
      <x:c r="J65" s="144"/>
      <x:c r="K65" s="144"/>
      <x:c r="L65" s="144"/>
      <x:c r="M65" s="3"/>
      <x:c r="N65" s="3"/>
      <x:c r="O65" s="3"/>
      <x:c r="P65" s="3"/>
      <x:c r="Q65" s="3"/>
      <x:c r="R65" s="3"/>
    </x:row>
    <x:row r="66" ht="20" customHeight="1">
      <x:c r="A66" s="144"/>
      <x:c r="B66" s="144"/>
      <x:c r="C66" s="144"/>
      <x:c r="D66" s="144"/>
      <x:c r="E66" s="144"/>
      <x:c r="F66" s="144"/>
      <x:c r="G66" s="144"/>
      <x:c r="H66" s="144"/>
      <x:c r="I66" s="144"/>
      <x:c r="J66" s="144"/>
      <x:c r="K66" s="144"/>
      <x:c r="L66" s="144"/>
      <x:c r="M66" s="3"/>
      <x:c r="N66" s="3"/>
      <x:c r="O66" s="3"/>
      <x:c r="P66" s="3"/>
      <x:c r="Q66" s="3"/>
      <x:c r="R66" s="3"/>
    </x:row>
    <x:row r="67" ht="20" customHeight="1">
      <x:c r="A67" s="144"/>
      <x:c r="B67" s="144"/>
      <x:c r="C67" s="144"/>
      <x:c r="D67" s="144"/>
      <x:c r="E67" s="144"/>
      <x:c r="F67" s="144"/>
      <x:c r="G67" s="144"/>
      <x:c r="H67" s="144"/>
      <x:c r="I67" s="144"/>
      <x:c r="J67" s="144"/>
      <x:c r="K67" s="144"/>
      <x:c r="L67" s="144"/>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4" t="str">
        <x:v>3 Goal and measures</x:v>
      </x:c>
      <x:c r="B69" s="34"/>
      <x:c r="C69" s="34"/>
      <x:c r="D69" s="34"/>
      <x:c r="E69" s="34"/>
      <x:c r="F69" s="34"/>
      <x:c r="G69" s="34" t="str">
        <x:v>4 Analysis</x:v>
      </x:c>
      <x:c r="H69" s="34"/>
      <x:c r="I69" s="34"/>
      <x:c r="J69" s="34"/>
      <x:c r="K69" s="34"/>
      <x:c r="L69" s="34"/>
      <x:c r="M69" s="3"/>
      <x:c r="N69" s="3"/>
      <x:c r="O69" s="3"/>
      <x:c r="P69" s="3"/>
      <x:c r="Q69" s="3"/>
      <x:c r="R69" s="3"/>
    </x:row>
    <x:row r="70" ht="20" customHeight="1">
      <x:c r="A70" s="34"/>
      <x:c r="B70" s="34"/>
      <x:c r="C70" s="34"/>
      <x:c r="D70" s="34"/>
      <x:c r="E70" s="34"/>
      <x:c r="F70" s="34"/>
      <x:c r="G70" s="34"/>
      <x:c r="H70" s="34"/>
      <x:c r="I70" s="34"/>
      <x:c r="J70" s="34"/>
      <x:c r="K70" s="34"/>
      <x:c r="L70" s="34"/>
      <x:c r="M70" s="3"/>
      <x:c r="N70" s="3"/>
      <x:c r="O70" s="3"/>
      <x:c r="P70" s="3"/>
      <x:c r="Q70" s="3"/>
      <x:c r="R70" s="3"/>
    </x:row>
    <x:row r="71" ht="20" customHeight="1">
      <x:c r="A71" s="136" t="str">
        <x:v>Specific target, timeframe, outcome/process/balancing measures.</x:v>
      </x:c>
      <x:c r="B71" s="136"/>
      <x:c r="C71" s="136"/>
      <x:c r="D71" s="136"/>
      <x:c r="E71" s="136"/>
      <x:c r="F71" s="136"/>
      <x:c r="G71" s="136" t="str">
        <x:v>Potential causes, evidence that supports or challenges them, remaining uncertainty.</x:v>
      </x:c>
      <x:c r="H71" s="136"/>
      <x:c r="I71" s="136"/>
      <x:c r="J71" s="136"/>
      <x:c r="K71" s="136"/>
      <x:c r="L71" s="136"/>
      <x:c r="M71" s="3"/>
      <x:c r="N71" s="3"/>
      <x:c r="O71" s="3"/>
      <x:c r="P71" s="3"/>
      <x:c r="Q71" s="3"/>
      <x:c r="R71" s="3"/>
    </x:row>
    <x:row r="72" ht="20" customHeight="1">
      <x:c r="A72" s="136"/>
      <x:c r="B72" s="136"/>
      <x:c r="C72" s="136"/>
      <x:c r="D72" s="136"/>
      <x:c r="E72" s="136"/>
      <x:c r="F72" s="136"/>
      <x:c r="G72" s="136"/>
      <x:c r="H72" s="136"/>
      <x:c r="I72" s="136"/>
      <x:c r="J72" s="136"/>
      <x:c r="K72" s="136"/>
      <x:c r="L72" s="136"/>
      <x:c r="M72" s="3"/>
      <x:c r="N72" s="3"/>
      <x:c r="O72" s="3"/>
      <x:c r="P72" s="3"/>
      <x:c r="Q72" s="3"/>
      <x:c r="R72" s="3"/>
    </x:row>
    <x:row r="73" ht="20" customHeight="1">
      <x:c r="A73" s="144" t="str"/>
      <x:c r="B73" s="144"/>
      <x:c r="C73" s="144"/>
      <x:c r="D73" s="144"/>
      <x:c r="E73" s="144"/>
      <x:c r="F73" s="144"/>
      <x:c r="G73" s="144" t="str"/>
      <x:c r="H73" s="144"/>
      <x:c r="I73" s="144"/>
      <x:c r="J73" s="144"/>
      <x:c r="K73" s="144"/>
      <x:c r="L73" s="144"/>
      <x:c r="M73" s="3"/>
      <x:c r="N73" s="3"/>
      <x:c r="O73" s="3"/>
      <x:c r="P73" s="3"/>
      <x:c r="Q73" s="3"/>
      <x:c r="R73" s="3"/>
    </x:row>
    <x:row r="74" ht="20" customHeight="1">
      <x:c r="A74" s="144"/>
      <x:c r="B74" s="144"/>
      <x:c r="C74" s="144"/>
      <x:c r="D74" s="144"/>
      <x:c r="E74" s="144"/>
      <x:c r="F74" s="144"/>
      <x:c r="G74" s="144"/>
      <x:c r="H74" s="144"/>
      <x:c r="I74" s="144"/>
      <x:c r="J74" s="144"/>
      <x:c r="K74" s="144"/>
      <x:c r="L74" s="144"/>
      <x:c r="M74" s="3"/>
      <x:c r="N74" s="3"/>
      <x:c r="O74" s="3"/>
      <x:c r="P74" s="3"/>
      <x:c r="Q74" s="3"/>
      <x:c r="R74" s="3"/>
    </x:row>
    <x:row r="75" ht="20" customHeight="1">
      <x:c r="A75" s="144"/>
      <x:c r="B75" s="144"/>
      <x:c r="C75" s="144"/>
      <x:c r="D75" s="144"/>
      <x:c r="E75" s="144"/>
      <x:c r="F75" s="144"/>
      <x:c r="G75" s="144"/>
      <x:c r="H75" s="144"/>
      <x:c r="I75" s="144"/>
      <x:c r="J75" s="144"/>
      <x:c r="K75" s="144"/>
      <x:c r="L75" s="144"/>
      <x:c r="M75" s="3"/>
      <x:c r="N75" s="3"/>
      <x:c r="O75" s="3"/>
      <x:c r="P75" s="3"/>
      <x:c r="Q75" s="3"/>
      <x:c r="R75" s="3"/>
    </x:row>
    <x:row r="76" ht="20" customHeight="1">
      <x:c r="A76" s="144"/>
      <x:c r="B76" s="144"/>
      <x:c r="C76" s="144"/>
      <x:c r="D76" s="144"/>
      <x:c r="E76" s="144"/>
      <x:c r="F76" s="144"/>
      <x:c r="G76" s="144"/>
      <x:c r="H76" s="144"/>
      <x:c r="I76" s="144"/>
      <x:c r="J76" s="144"/>
      <x:c r="K76" s="144"/>
      <x:c r="L76" s="144"/>
      <x:c r="M76" s="3"/>
      <x:c r="N76" s="3"/>
      <x:c r="O76" s="3"/>
      <x:c r="P76" s="3"/>
      <x:c r="Q76" s="3"/>
      <x:c r="R76" s="3"/>
    </x:row>
    <x:row r="77" ht="20" customHeight="1">
      <x:c r="A77" s="144"/>
      <x:c r="B77" s="144"/>
      <x:c r="C77" s="144"/>
      <x:c r="D77" s="144"/>
      <x:c r="E77" s="144"/>
      <x:c r="F77" s="144"/>
      <x:c r="G77" s="144"/>
      <x:c r="H77" s="144"/>
      <x:c r="I77" s="144"/>
      <x:c r="J77" s="144"/>
      <x:c r="K77" s="144"/>
      <x:c r="L77" s="144"/>
      <x:c r="M77" s="3"/>
      <x:c r="N77" s="3"/>
      <x:c r="O77" s="3"/>
      <x:c r="P77" s="3"/>
      <x:c r="Q77" s="3"/>
      <x:c r="R77" s="3"/>
    </x:row>
    <x:row r="78" ht="20" customHeight="1">
      <x:c r="A78" s="144"/>
      <x:c r="B78" s="144"/>
      <x:c r="C78" s="144"/>
      <x:c r="D78" s="144"/>
      <x:c r="E78" s="144"/>
      <x:c r="F78" s="144"/>
      <x:c r="G78" s="144"/>
      <x:c r="H78" s="144"/>
      <x:c r="I78" s="144"/>
      <x:c r="J78" s="144"/>
      <x:c r="K78" s="144"/>
      <x:c r="L78" s="144"/>
      <x:c r="M78" s="3"/>
      <x:c r="N78" s="3"/>
      <x:c r="O78" s="3"/>
      <x:c r="P78" s="3"/>
      <x:c r="Q78" s="3"/>
      <x:c r="R78" s="3"/>
    </x:row>
    <x:row r="79" ht="20" customHeight="1">
      <x:c r="A79" s="144"/>
      <x:c r="B79" s="144"/>
      <x:c r="C79" s="144"/>
      <x:c r="D79" s="144"/>
      <x:c r="E79" s="144"/>
      <x:c r="F79" s="144"/>
      <x:c r="G79" s="144"/>
      <x:c r="H79" s="144"/>
      <x:c r="I79" s="144"/>
      <x:c r="J79" s="144"/>
      <x:c r="K79" s="144"/>
      <x:c r="L79" s="144"/>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4" t="str">
        <x:v>5 Countermeasures</x:v>
      </x:c>
      <x:c r="B81" s="34"/>
      <x:c r="C81" s="34"/>
      <x:c r="D81" s="34"/>
      <x:c r="E81" s="34"/>
      <x:c r="F81" s="34"/>
      <x:c r="G81" s="34" t="str">
        <x:v>6 Test and action plan</x:v>
      </x:c>
      <x:c r="H81" s="34"/>
      <x:c r="I81" s="34"/>
      <x:c r="J81" s="34"/>
      <x:c r="K81" s="34"/>
      <x:c r="L81" s="34"/>
      <x:c r="M81" s="3"/>
      <x:c r="N81" s="3"/>
      <x:c r="O81" s="3"/>
      <x:c r="P81" s="3"/>
      <x:c r="Q81" s="3"/>
      <x:c r="R81" s="3"/>
    </x:row>
    <x:row r="82" ht="20" customHeight="1">
      <x:c r="A82" s="34"/>
      <x:c r="B82" s="34"/>
      <x:c r="C82" s="34"/>
      <x:c r="D82" s="34"/>
      <x:c r="E82" s="34"/>
      <x:c r="F82" s="34"/>
      <x:c r="G82" s="34"/>
      <x:c r="H82" s="34"/>
      <x:c r="I82" s="34"/>
      <x:c r="J82" s="34"/>
      <x:c r="K82" s="34"/>
      <x:c r="L82" s="34"/>
      <x:c r="M82" s="3"/>
      <x:c r="N82" s="3"/>
      <x:c r="O82" s="3"/>
      <x:c r="P82" s="3"/>
      <x:c r="Q82" s="3"/>
      <x:c r="R82" s="3"/>
    </x:row>
    <x:row r="83" ht="20" customHeight="1">
      <x:c r="A83" s="136" t="str">
        <x:v>Options, rationale, predicted mechanism, retained controls.</x:v>
      </x:c>
      <x:c r="B83" s="136"/>
      <x:c r="C83" s="136"/>
      <x:c r="D83" s="136"/>
      <x:c r="E83" s="136"/>
      <x:c r="F83" s="136"/>
      <x:c r="G83" s="136" t="str">
        <x:v>PDSA IDs, owners, dates, test conditions, stop rules.</x:v>
      </x:c>
      <x:c r="H83" s="136"/>
      <x:c r="I83" s="136"/>
      <x:c r="J83" s="136"/>
      <x:c r="K83" s="136"/>
      <x:c r="L83" s="136"/>
      <x:c r="M83" s="3"/>
      <x:c r="N83" s="3"/>
      <x:c r="O83" s="3"/>
      <x:c r="P83" s="3"/>
      <x:c r="Q83" s="3"/>
      <x:c r="R83" s="3"/>
    </x:row>
    <x:row r="84" ht="20" customHeight="1">
      <x:c r="A84" s="136"/>
      <x:c r="B84" s="136"/>
      <x:c r="C84" s="136"/>
      <x:c r="D84" s="136"/>
      <x:c r="E84" s="136"/>
      <x:c r="F84" s="136"/>
      <x:c r="G84" s="136"/>
      <x:c r="H84" s="136"/>
      <x:c r="I84" s="136"/>
      <x:c r="J84" s="136"/>
      <x:c r="K84" s="136"/>
      <x:c r="L84" s="136"/>
      <x:c r="M84" s="3"/>
      <x:c r="N84" s="3"/>
      <x:c r="O84" s="3"/>
      <x:c r="P84" s="3"/>
      <x:c r="Q84" s="3"/>
      <x:c r="R84" s="3"/>
    </x:row>
    <x:row r="85" ht="20" customHeight="1">
      <x:c r="A85" s="144" t="str"/>
      <x:c r="B85" s="144"/>
      <x:c r="C85" s="144"/>
      <x:c r="D85" s="144"/>
      <x:c r="E85" s="144"/>
      <x:c r="F85" s="144"/>
      <x:c r="G85" s="144" t="str"/>
      <x:c r="H85" s="144"/>
      <x:c r="I85" s="144"/>
      <x:c r="J85" s="144"/>
      <x:c r="K85" s="144"/>
      <x:c r="L85" s="144"/>
      <x:c r="M85" s="3"/>
      <x:c r="N85" s="3"/>
      <x:c r="O85" s="3"/>
      <x:c r="P85" s="3"/>
      <x:c r="Q85" s="3"/>
      <x:c r="R85" s="3"/>
    </x:row>
    <x:row r="86" ht="20" customHeight="1">
      <x:c r="A86" s="144"/>
      <x:c r="B86" s="144"/>
      <x:c r="C86" s="144"/>
      <x:c r="D86" s="144"/>
      <x:c r="E86" s="144"/>
      <x:c r="F86" s="144"/>
      <x:c r="G86" s="144"/>
      <x:c r="H86" s="144"/>
      <x:c r="I86" s="144"/>
      <x:c r="J86" s="144"/>
      <x:c r="K86" s="144"/>
      <x:c r="L86" s="144"/>
      <x:c r="M86" s="3"/>
      <x:c r="N86" s="3"/>
      <x:c r="O86" s="3"/>
      <x:c r="P86" s="3"/>
      <x:c r="Q86" s="3"/>
      <x:c r="R86" s="3"/>
    </x:row>
    <x:row r="87" ht="20" customHeight="1">
      <x:c r="A87" s="144"/>
      <x:c r="B87" s="144"/>
      <x:c r="C87" s="144"/>
      <x:c r="D87" s="144"/>
      <x:c r="E87" s="144"/>
      <x:c r="F87" s="144"/>
      <x:c r="G87" s="144"/>
      <x:c r="H87" s="144"/>
      <x:c r="I87" s="144"/>
      <x:c r="J87" s="144"/>
      <x:c r="K87" s="144"/>
      <x:c r="L87" s="144"/>
      <x:c r="M87" s="3"/>
      <x:c r="N87" s="3"/>
      <x:c r="O87" s="3"/>
      <x:c r="P87" s="3"/>
      <x:c r="Q87" s="3"/>
      <x:c r="R87" s="3"/>
    </x:row>
    <x:row r="88" ht="20" customHeight="1">
      <x:c r="A88" s="144"/>
      <x:c r="B88" s="144"/>
      <x:c r="C88" s="144"/>
      <x:c r="D88" s="144"/>
      <x:c r="E88" s="144"/>
      <x:c r="F88" s="144"/>
      <x:c r="G88" s="144"/>
      <x:c r="H88" s="144"/>
      <x:c r="I88" s="144"/>
      <x:c r="J88" s="144"/>
      <x:c r="K88" s="144"/>
      <x:c r="L88" s="144"/>
      <x:c r="M88" s="3"/>
      <x:c r="N88" s="3"/>
      <x:c r="O88" s="3"/>
      <x:c r="P88" s="3"/>
      <x:c r="Q88" s="3"/>
      <x:c r="R88" s="3"/>
    </x:row>
    <x:row r="89" ht="20" customHeight="1">
      <x:c r="A89" s="144"/>
      <x:c r="B89" s="144"/>
      <x:c r="C89" s="144"/>
      <x:c r="D89" s="144"/>
      <x:c r="E89" s="144"/>
      <x:c r="F89" s="144"/>
      <x:c r="G89" s="144"/>
      <x:c r="H89" s="144"/>
      <x:c r="I89" s="144"/>
      <x:c r="J89" s="144"/>
      <x:c r="K89" s="144"/>
      <x:c r="L89" s="144"/>
      <x:c r="M89" s="3"/>
      <x:c r="N89" s="3"/>
      <x:c r="O89" s="3"/>
      <x:c r="P89" s="3"/>
      <x:c r="Q89" s="3"/>
      <x:c r="R89" s="3"/>
    </x:row>
    <x:row r="90" ht="20" customHeight="1">
      <x:c r="A90" s="144"/>
      <x:c r="B90" s="144"/>
      <x:c r="C90" s="144"/>
      <x:c r="D90" s="144"/>
      <x:c r="E90" s="144"/>
      <x:c r="F90" s="144"/>
      <x:c r="G90" s="144"/>
      <x:c r="H90" s="144"/>
      <x:c r="I90" s="144"/>
      <x:c r="J90" s="144"/>
      <x:c r="K90" s="144"/>
      <x:c r="L90" s="144"/>
      <x:c r="M90" s="3"/>
      <x:c r="N90" s="3"/>
      <x:c r="O90" s="3"/>
      <x:c r="P90" s="3"/>
      <x:c r="Q90" s="3"/>
      <x:c r="R90" s="3"/>
    </x:row>
    <x:row r="91" ht="20" customHeight="1">
      <x:c r="A91" s="144"/>
      <x:c r="B91" s="144"/>
      <x:c r="C91" s="144"/>
      <x:c r="D91" s="144"/>
      <x:c r="E91" s="144"/>
      <x:c r="F91" s="144"/>
      <x:c r="G91" s="144"/>
      <x:c r="H91" s="144"/>
      <x:c r="I91" s="144"/>
      <x:c r="J91" s="144"/>
      <x:c r="K91" s="144"/>
      <x:c r="L91" s="144"/>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4" t="str">
        <x:v>7 Results and learning</x:v>
      </x:c>
      <x:c r="B93" s="34"/>
      <x:c r="C93" s="34"/>
      <x:c r="D93" s="34"/>
      <x:c r="E93" s="34"/>
      <x:c r="F93" s="34"/>
      <x:c r="G93" s="34" t="str">
        <x:v>8 Follow-up and ownership</x:v>
      </x:c>
      <x:c r="H93" s="34"/>
      <x:c r="I93" s="34"/>
      <x:c r="J93" s="34"/>
      <x:c r="K93" s="34"/>
      <x:c r="L93" s="34"/>
      <x:c r="M93" s="3"/>
      <x:c r="N93" s="3"/>
      <x:c r="O93" s="3"/>
      <x:c r="P93" s="3"/>
      <x:c r="Q93" s="3"/>
      <x:c r="R93" s="3"/>
    </x:row>
    <x:row r="94" ht="20" customHeight="1">
      <x:c r="A94" s="34"/>
      <x:c r="B94" s="34"/>
      <x:c r="C94" s="34"/>
      <x:c r="D94" s="34"/>
      <x:c r="E94" s="34"/>
      <x:c r="F94" s="34"/>
      <x:c r="G94" s="34"/>
      <x:c r="H94" s="34"/>
      <x:c r="I94" s="34"/>
      <x:c r="J94" s="34"/>
      <x:c r="K94" s="34"/>
      <x:c r="L94" s="34"/>
      <x:c r="M94" s="3"/>
      <x:c r="N94" s="3"/>
      <x:c r="O94" s="3"/>
      <x:c r="P94" s="3"/>
      <x:c r="Q94" s="3"/>
      <x:c r="R94" s="3"/>
    </x:row>
    <x:row r="95" ht="20" customHeight="1">
      <x:c r="A95" s="136" t="str">
        <x:v>Prediction versus result, data quality, harms, what changed in our understanding.</x:v>
      </x:c>
      <x:c r="B95" s="136"/>
      <x:c r="C95" s="136"/>
      <x:c r="D95" s="136"/>
      <x:c r="E95" s="136"/>
      <x:c r="F95" s="136"/>
      <x:c r="G95" s="136" t="str">
        <x:v>Adopt/adapt/abandon, operational owner, control plan, next review.</x:v>
      </x:c>
      <x:c r="H95" s="136"/>
      <x:c r="I95" s="136"/>
      <x:c r="J95" s="136"/>
      <x:c r="K95" s="136"/>
      <x:c r="L95" s="136"/>
      <x:c r="M95" s="3"/>
      <x:c r="N95" s="3"/>
      <x:c r="O95" s="3"/>
      <x:c r="P95" s="3"/>
      <x:c r="Q95" s="3"/>
      <x:c r="R95" s="3"/>
    </x:row>
    <x:row r="96" ht="20" customHeight="1">
      <x:c r="A96" s="136"/>
      <x:c r="B96" s="136"/>
      <x:c r="C96" s="136"/>
      <x:c r="D96" s="136"/>
      <x:c r="E96" s="136"/>
      <x:c r="F96" s="136"/>
      <x:c r="G96" s="136"/>
      <x:c r="H96" s="136"/>
      <x:c r="I96" s="136"/>
      <x:c r="J96" s="136"/>
      <x:c r="K96" s="136"/>
      <x:c r="L96" s="136"/>
      <x:c r="M96" s="3"/>
      <x:c r="N96" s="3"/>
      <x:c r="O96" s="3"/>
      <x:c r="P96" s="3"/>
      <x:c r="Q96" s="3"/>
      <x:c r="R96" s="3"/>
    </x:row>
    <x:row r="97" ht="20" customHeight="1">
      <x:c r="A97" s="144" t="str"/>
      <x:c r="B97" s="144"/>
      <x:c r="C97" s="144"/>
      <x:c r="D97" s="144"/>
      <x:c r="E97" s="144"/>
      <x:c r="F97" s="144"/>
      <x:c r="G97" s="144" t="str"/>
      <x:c r="H97" s="144"/>
      <x:c r="I97" s="144"/>
      <x:c r="J97" s="144"/>
      <x:c r="K97" s="144"/>
      <x:c r="L97" s="144"/>
      <x:c r="M97" s="3"/>
      <x:c r="N97" s="3"/>
      <x:c r="O97" s="3"/>
      <x:c r="P97" s="3"/>
      <x:c r="Q97" s="3"/>
      <x:c r="R97" s="3"/>
    </x:row>
    <x:row r="98" ht="20" customHeight="1">
      <x:c r="A98" s="144"/>
      <x:c r="B98" s="144"/>
      <x:c r="C98" s="144"/>
      <x:c r="D98" s="144"/>
      <x:c r="E98" s="144"/>
      <x:c r="F98" s="144"/>
      <x:c r="G98" s="144"/>
      <x:c r="H98" s="144"/>
      <x:c r="I98" s="144"/>
      <x:c r="J98" s="144"/>
      <x:c r="K98" s="144"/>
      <x:c r="L98" s="144"/>
      <x:c r="M98" s="3"/>
      <x:c r="N98" s="3"/>
      <x:c r="O98" s="3"/>
      <x:c r="P98" s="3"/>
      <x:c r="Q98" s="3"/>
      <x:c r="R98" s="3"/>
    </x:row>
    <x:row r="99" ht="20" customHeight="1">
      <x:c r="A99" s="144"/>
      <x:c r="B99" s="144"/>
      <x:c r="C99" s="144"/>
      <x:c r="D99" s="144"/>
      <x:c r="E99" s="144"/>
      <x:c r="F99" s="144"/>
      <x:c r="G99" s="144"/>
      <x:c r="H99" s="144"/>
      <x:c r="I99" s="144"/>
      <x:c r="J99" s="144"/>
      <x:c r="K99" s="144"/>
      <x:c r="L99" s="144"/>
      <x:c r="M99" s="3"/>
      <x:c r="N99" s="3"/>
      <x:c r="O99" s="3"/>
      <x:c r="P99" s="3"/>
      <x:c r="Q99" s="3"/>
      <x:c r="R99" s="3"/>
    </x:row>
    <x:row r="100" ht="20" customHeight="1">
      <x:c r="A100" s="144"/>
      <x:c r="B100" s="144"/>
      <x:c r="C100" s="144"/>
      <x:c r="D100" s="144"/>
      <x:c r="E100" s="144"/>
      <x:c r="F100" s="144"/>
      <x:c r="G100" s="144"/>
      <x:c r="H100" s="144"/>
      <x:c r="I100" s="144"/>
      <x:c r="J100" s="144"/>
      <x:c r="K100" s="144"/>
      <x:c r="L100" s="144"/>
      <x:c r="M100" s="3"/>
      <x:c r="N100" s="3"/>
      <x:c r="O100" s="3"/>
      <x:c r="P100" s="3"/>
      <x:c r="Q100" s="3"/>
      <x:c r="R100" s="3"/>
    </x:row>
    <x:row r="101" ht="20" customHeight="1">
      <x:c r="A101" s="144"/>
      <x:c r="B101" s="144"/>
      <x:c r="C101" s="144"/>
      <x:c r="D101" s="144"/>
      <x:c r="E101" s="144"/>
      <x:c r="F101" s="144"/>
      <x:c r="G101" s="144"/>
      <x:c r="H101" s="144"/>
      <x:c r="I101" s="144"/>
      <x:c r="J101" s="144"/>
      <x:c r="K101" s="144"/>
      <x:c r="L101" s="144"/>
      <x:c r="M101" s="3"/>
      <x:c r="N101" s="3"/>
      <x:c r="O101" s="3"/>
      <x:c r="P101" s="3"/>
      <x:c r="Q101" s="3"/>
      <x:c r="R101" s="3"/>
    </x:row>
    <x:row r="102" ht="20" customHeight="1">
      <x:c r="A102" s="144"/>
      <x:c r="B102" s="144"/>
      <x:c r="C102" s="144"/>
      <x:c r="D102" s="144"/>
      <x:c r="E102" s="144"/>
      <x:c r="F102" s="144"/>
      <x:c r="G102" s="144"/>
      <x:c r="H102" s="144"/>
      <x:c r="I102" s="144"/>
      <x:c r="J102" s="144"/>
      <x:c r="K102" s="144"/>
      <x:c r="L102" s="144"/>
      <x:c r="M102" s="3"/>
      <x:c r="N102" s="3"/>
      <x:c r="O102" s="3"/>
      <x:c r="P102" s="3"/>
      <x:c r="Q102" s="3"/>
      <x:c r="R102" s="3"/>
    </x:row>
    <x:row r="103" ht="20" customHeight="1">
      <x:c r="A103" s="144"/>
      <x:c r="B103" s="144"/>
      <x:c r="C103" s="144"/>
      <x:c r="D103" s="144"/>
      <x:c r="E103" s="144"/>
      <x:c r="F103" s="144"/>
      <x:c r="G103" s="144"/>
      <x:c r="H103" s="144"/>
      <x:c r="I103" s="144"/>
      <x:c r="J103" s="144"/>
      <x:c r="K103" s="144"/>
      <x:c r="L103" s="144"/>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136" t="str">
        <x:v>The A3 is a shared reasoning record, not a form to complete alone after decisions have been made. Use the eight panels to tell one evidence-linked story. Print/scale to A3 landscape where supported by your spreadsheet application, or use the full-width manual canvas.</x:v>
      </x:c>
      <x:c r="B108" s="136"/>
      <x:c r="C108" s="136"/>
      <x:c r="D108" s="136"/>
      <x:c r="E108" s="136"/>
      <x:c r="F108" s="136"/>
      <x:c r="G108" s="136"/>
      <x:c r="H108" s="136"/>
      <x:c r="I108" s="136"/>
      <x:c r="J108" s="136"/>
      <x:c r="K108" s="136"/>
      <x:c r="L108" s="136"/>
      <x:c r="M108" s="3"/>
      <x:c r="N108" s="3"/>
      <x:c r="O108" s="3"/>
      <x:c r="P108" s="3"/>
      <x:c r="Q108" s="3"/>
      <x:c r="R108" s="3"/>
    </x:row>
    <x:row r="109" ht="20" customHeight="1">
      <x:c r="A109" s="136"/>
      <x:c r="B109" s="136"/>
      <x:c r="C109" s="136"/>
      <x:c r="D109" s="136"/>
      <x:c r="E109" s="136"/>
      <x:c r="F109" s="136"/>
      <x:c r="G109" s="136"/>
      <x:c r="H109" s="136"/>
      <x:c r="I109" s="136"/>
      <x:c r="J109" s="136"/>
      <x:c r="K109" s="136"/>
      <x:c r="L109" s="136"/>
      <x:c r="M109" s="3"/>
      <x:c r="N109" s="3"/>
      <x:c r="O109" s="3"/>
      <x:c r="P109" s="3"/>
      <x:c r="Q109" s="3"/>
      <x:c r="R109" s="3"/>
    </x:row>
    <x:row r="110" ht="20" customHeight="1">
      <x:c r="A110" s="136"/>
      <x:c r="B110" s="136"/>
      <x:c r="C110" s="136"/>
      <x:c r="D110" s="136"/>
      <x:c r="E110" s="136"/>
      <x:c r="F110" s="136"/>
      <x:c r="G110" s="136"/>
      <x:c r="H110" s="136"/>
      <x:c r="I110" s="136"/>
      <x:c r="J110" s="136"/>
      <x:c r="K110" s="136"/>
      <x:c r="L110" s="136"/>
      <x:c r="M110" s="3"/>
      <x:c r="N110" s="3"/>
      <x:c r="O110" s="3"/>
      <x:c r="P110" s="3"/>
      <x:c r="Q110" s="3"/>
      <x:c r="R110" s="3"/>
    </x:row>
    <x:row r="111" ht="20" customHeight="1">
      <x:c r="A111" s="136"/>
      <x:c r="B111" s="136"/>
      <x:c r="C111" s="136"/>
      <x:c r="D111" s="136"/>
      <x:c r="E111" s="136"/>
      <x:c r="F111" s="136"/>
      <x:c r="G111" s="136"/>
      <x:c r="H111" s="136"/>
      <x:c r="I111" s="136"/>
      <x:c r="J111" s="136"/>
      <x:c r="K111" s="136"/>
      <x:c r="L111" s="136"/>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 ref="A54:L55"/>
    <x:mergeCell ref="A57:F58"/>
    <x:mergeCell ref="A59:F60"/>
    <x:mergeCell ref="A61:F67"/>
    <x:mergeCell ref="G57:L58"/>
    <x:mergeCell ref="G59:L60"/>
    <x:mergeCell ref="G61:L67"/>
    <x:mergeCell ref="A69:F70"/>
    <x:mergeCell ref="A71:F72"/>
    <x:mergeCell ref="A73:F79"/>
    <x:mergeCell ref="G69:L70"/>
    <x:mergeCell ref="G71:L72"/>
    <x:mergeCell ref="G73:L79"/>
    <x:mergeCell ref="A81:F82"/>
    <x:mergeCell ref="A83:F84"/>
    <x:mergeCell ref="A85:F91"/>
    <x:mergeCell ref="G81:L82"/>
    <x:mergeCell ref="G83:L84"/>
    <x:mergeCell ref="G85:L91"/>
    <x:mergeCell ref="A93:F94"/>
    <x:mergeCell ref="A95:F96"/>
    <x:mergeCell ref="A97:F103"/>
    <x:mergeCell ref="G93:L94"/>
    <x:mergeCell ref="G95:L96"/>
    <x:mergeCell ref="G97:L103"/>
    <x:mergeCell ref="A108:L111"/>
  </x:mergeCells>
  <x:pageMargins left="0.7" right="0.7" top="0.75" bottom="0.75" header="0.3" footer="0.3"/>
</x:worksheet>
</file>

<file path=xl/worksheets/sheet52.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V04  Gemba observation and respectful enquiry</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Observe actual work with the people who perform it.</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V04</x:v>
      </x:c>
      <x:c r="B9" s="34"/>
      <x:c r="C9" s="34"/>
      <x:c r="D9" s="34"/>
      <x:c r="E9" s="34"/>
      <x:c r="F9" s="34"/>
      <x:c r="G9" s="34"/>
      <x:c r="H9" s="34"/>
      <x:c r="I9" s="34"/>
      <x:c r="J9" s="34"/>
      <x:c r="K9" s="34"/>
      <x:c r="L9" s="34"/>
      <x:c r="M9" s="3"/>
      <x:c r="N9" s="3"/>
      <x:c r="O9" s="3"/>
      <x:c r="P9" s="3"/>
      <x:c r="Q9" s="3"/>
      <x:c r="R9" s="3"/>
    </x:row>
    <x:row r="10" ht="20" customHeight="1">
      <x:c r="A10" s="40" t="str">
        <x:v>01  Purpose and permission</x:v>
      </x:c>
      <x:c r="B10" s="40"/>
      <x:c r="C10" s="40"/>
      <x:c r="D10" s="17" t="str">
        <x:v>Agree why, where and how to observe.</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Work observed</x:v>
      </x:c>
      <x:c r="B16" s="40"/>
      <x:c r="C16" s="40"/>
      <x:c r="D16" s="17" t="str">
        <x:v>Record family, boundary and conditions.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Facts and timing</x:v>
      </x:c>
      <x:c r="B22" s="40"/>
      <x:c r="C22" s="40"/>
      <x:c r="D22" s="17" t="str">
        <x:v>Separate observed events from interpretation.</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Questions and hypotheses</x:v>
      </x:c>
      <x:c r="B28" s="40"/>
      <x:c r="C28" s="40"/>
      <x:c r="D28" s="17" t="str">
        <x:v>Capture what requires verification.</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People and safeguards</x:v>
      </x:c>
      <x:c r="B34" s="40"/>
      <x:c r="C34" s="40"/>
      <x:c r="D34" s="17" t="str">
        <x:v>Note burden, expertise and necessary controls.</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Validation and next step</x:v>
      </x:c>
      <x:c r="B40" s="40"/>
      <x:c r="C40" s="40"/>
      <x:c r="D40" s="17" t="str">
        <x:v>Agree the corrected record and evidence plan.</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Do not turn observation into covert employee monitoring. Never record confidential screens casually. Observation can alter behaviour; compare several situations and other data before generalising.</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M02, M04, M05  |  METHOD SOURCES: U03, R16, R14</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53.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V05  Improvement selection and readiness portfolio</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Choose a manageable problem that is worth solving and possible to study.</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V05</x:v>
      </x:c>
      <x:c r="B9" s="34"/>
      <x:c r="C9" s="34"/>
      <x:c r="D9" s="34"/>
      <x:c r="E9" s="34"/>
      <x:c r="F9" s="34"/>
      <x:c r="G9" s="34"/>
      <x:c r="H9" s="34"/>
      <x:c r="I9" s="34"/>
      <x:c r="J9" s="34"/>
      <x:c r="K9" s="34"/>
      <x:c r="L9" s="34"/>
      <x:c r="M9" s="3"/>
      <x:c r="N9" s="3"/>
      <x:c r="O9" s="3"/>
      <x:c r="P9" s="3"/>
      <x:c r="Q9" s="3"/>
      <x:c r="R9" s="3"/>
    </x:row>
    <x:row r="10" ht="20" customHeight="1">
      <x:c r="A10" s="40" t="str">
        <x:v>01  Candidate and need</x:v>
      </x:c>
      <x:c r="B10" s="40"/>
      <x:c r="C10" s="40"/>
      <x:c r="D10" s="17" t="str">
        <x:v>State the problem and evidence.</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Value and urgency</x:v>
      </x:c>
      <x:c r="B16" s="40"/>
      <x:c r="C16" s="40"/>
      <x:c r="D16" s="17" t="str">
        <x:v>Explain benefit and mandatory obligations.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Evidence and scope</x:v>
      </x:c>
      <x:c r="B22" s="40"/>
      <x:c r="C22" s="40"/>
      <x:c r="D22" s="17" t="str">
        <x:v>Assess whether the problem is studyable.</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Ownership and capacity</x:v>
      </x:c>
      <x:c r="B28" s="40"/>
      <x:c r="C28" s="40"/>
      <x:c r="D28" s="17" t="str">
        <x:v>Confirm sponsor, team time and support.</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Decision and rationale</x:v>
      </x:c>
      <x:c r="B34" s="40"/>
      <x:c r="C34" s="40"/>
      <x:c r="D34" s="17" t="str">
        <x:v>Record select, defer or redirect.</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Review and limits</x:v>
      </x:c>
      <x:c r="B40" s="40"/>
      <x:c r="C40" s="40"/>
      <x:c r="D40" s="17" t="str">
        <x:v>Set work-in-progress and reassessment rules.</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Ranking scores are a discussion aid, not a validated selection instrument. Use transparent local criteria and do not allow a high aggregate score to compensate for missing authority or unresolved mandatory risk.</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V01, V03, V06  |  METHOD SOURCES: U04, R12, R14</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54.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V06  Strategy alignment and X-matrix conversation</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Make the relationship between priorities, measures, initiatives and resources explicit.</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V06</x:v>
      </x:c>
      <x:c r="B9" s="34"/>
      <x:c r="C9" s="34"/>
      <x:c r="D9" s="34"/>
      <x:c r="E9" s="34"/>
      <x:c r="F9" s="34"/>
      <x:c r="G9" s="34"/>
      <x:c r="H9" s="34"/>
      <x:c r="I9" s="34"/>
      <x:c r="J9" s="34"/>
      <x:c r="K9" s="34"/>
      <x:c r="L9" s="34"/>
      <x:c r="M9" s="3"/>
      <x:c r="N9" s="3"/>
      <x:c r="O9" s="3"/>
      <x:c r="P9" s="3"/>
      <x:c r="Q9" s="3"/>
      <x:c r="R9" s="3"/>
    </x:row>
    <x:row r="10" ht="20" customHeight="1">
      <x:c r="A10" s="40" t="str">
        <x:v>01  Priorities</x:v>
      </x:c>
      <x:c r="B10" s="40"/>
      <x:c r="C10" s="40"/>
      <x:c r="D10" s="17" t="str">
        <x:v>State the few outcomes that govern choices.</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Metrics</x:v>
      </x:c>
      <x:c r="B16" s="40"/>
      <x:c r="C16" s="40"/>
      <x:c r="D16" s="17" t="str">
        <x:v>Define evidence of progress and ownership.</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Initiatives</x:v>
      </x:c>
      <x:c r="B22" s="40"/>
      <x:c r="C22" s="40"/>
      <x:c r="D22" s="17" t="str">
        <x:v>Identify work and its contribution hypothesis.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Resources</x:v>
      </x:c>
      <x:c r="B28" s="40"/>
      <x:c r="C28" s="40"/>
      <x:c r="D28" s="17" t="str">
        <x:v>Name accountable owners and real capacity.</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Relationship and trade-off</x:v>
      </x:c>
      <x:c r="B34" s="40"/>
      <x:c r="C34" s="40"/>
      <x:c r="D34" s="17" t="str">
        <x:v>Mark strong, supporting or absent links with reasons.</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Review and decisions</x:v>
      </x:c>
      <x:c r="B40" s="40"/>
      <x:c r="C40" s="40"/>
      <x:c r="D40" s="17" t="str">
        <x:v>Set the rhythm and response to evidence.</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A marked relationship is a hypothesis about contribution, not proof of causality. Do not use arbitrary 1/3/9 weights as objective evidence. Review strategic contribution with actual operating results and resource use.</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V05, A06, C06  |  METHOD SOURCES: U04, R32</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55.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M01  Process-family selection matrix</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Group requests that genuinely follow comparable work before mapping or measuring them.</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M01</x:v>
      </x:c>
      <x:c r="B9" s="34"/>
      <x:c r="C9" s="34"/>
      <x:c r="D9" s="34"/>
      <x:c r="E9" s="34"/>
      <x:c r="F9" s="34"/>
      <x:c r="G9" s="34"/>
      <x:c r="H9" s="34"/>
      <x:c r="I9" s="34"/>
      <x:c r="J9" s="34"/>
      <x:c r="K9" s="34"/>
      <x:c r="L9" s="34"/>
      <x:c r="M9" s="3"/>
      <x:c r="N9" s="3"/>
      <x:c r="O9" s="3"/>
      <x:c r="P9" s="3"/>
      <x:c r="Q9" s="3"/>
      <x:c r="R9" s="3"/>
    </x:row>
    <x:row r="10" ht="20" customHeight="1">
      <x:c r="A10" s="40" t="str">
        <x:v>01  Request types</x:v>
      </x:c>
      <x:c r="B10" s="40"/>
      <x:c r="C10" s="40"/>
      <x:c r="D10" s="17" t="str">
        <x:v>List actual outputs and demand.</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Process steps</x:v>
      </x:c>
      <x:c r="B16" s="40"/>
      <x:c r="C16" s="40"/>
      <x:c r="D16" s="17" t="str">
        <x:v>Identify material activities and controls.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Route matrix</x:v>
      </x:c>
      <x:c r="B22" s="40"/>
      <x:c r="C22" s="40"/>
      <x:c r="D22" s="17" t="str">
        <x:v>Mark shared and different routes.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Selected family</x:v>
      </x:c>
      <x:c r="B28" s="40"/>
      <x:c r="C28" s="40"/>
      <x:c r="D28" s="17" t="str">
        <x:v>Explain why the boundary is useful.</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Exclusions and protection</x:v>
      </x:c>
      <x:c r="B34" s="40"/>
      <x:c r="C34" s="40"/>
      <x:c r="D34" s="17" t="str">
        <x:v>State how other work is handled.</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Review and ownership</x:v>
      </x:c>
      <x:c r="B40" s="40"/>
      <x:c r="C40" s="40"/>
      <x:c r="D40" s="17" t="str">
        <x:v>Assign maintenance and reassessment.</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Family selection is an analytical boundary, not permission to abandon difficult cases. Keep excluded work, demand and access implications visible, and revisit the boundary when evidence changes.</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M02, P04, P06  |  METHOD SOURCES: U02, R17</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56.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M02  Current-state value stream map</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See work, information, waiting and quality across the whole service family.</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M02</x:v>
      </x:c>
      <x:c r="B9" s="34"/>
      <x:c r="C9" s="34"/>
      <x:c r="D9" s="34"/>
      <x:c r="E9" s="34"/>
      <x:c r="F9" s="34"/>
      <x:c r="G9" s="34"/>
      <x:c r="H9" s="34"/>
      <x:c r="I9" s="34"/>
      <x:c r="J9" s="34"/>
      <x:c r="K9" s="34"/>
      <x:c r="L9" s="34"/>
      <x:c r="M9" s="3"/>
      <x:c r="N9" s="3"/>
      <x:c r="O9" s="3"/>
      <x:c r="P9" s="3"/>
      <x:c r="Q9" s="3"/>
      <x:c r="R9" s="3"/>
    </x:row>
    <x:row r="10" ht="20" customHeight="1">
      <x:c r="A10" s="40" t="str">
        <x:v>01  Boundary and demand</x:v>
      </x:c>
      <x:c r="B10" s="40"/>
      <x:c r="C10" s="40"/>
      <x:c r="D10" s="17" t="str">
        <x:v>Define family, start, finish and period.</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Work sequence</x:v>
      </x:c>
      <x:c r="B16" s="40"/>
      <x:c r="C16" s="40"/>
      <x:c r="D16" s="17" t="str">
        <x:v>Show actual steps and rework loops.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Information flow</x:v>
      </x:c>
      <x:c r="B22" s="40"/>
      <x:c r="C22" s="40"/>
      <x:c r="D22" s="17" t="str">
        <x:v>Identify instructions and release signals.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Data boxes and queues</x:v>
      </x:c>
      <x:c r="B28" s="40"/>
      <x:c r="C28" s="40"/>
      <x:c r="D28" s="17" t="str">
        <x:v>Record time, quality and WIP with sources.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Timeline</x:v>
      </x:c>
      <x:c r="B34" s="40"/>
      <x:c r="C34" s="40"/>
      <x:c r="D34" s="17" t="str">
        <x:v>Separate touch from elapsed delay.</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Validation and hypotheses</x:v>
      </x:c>
      <x:c r="B40" s="40"/>
      <x:c r="C40" s="40"/>
      <x:c r="D40" s="17" t="str">
        <x:v>Record corrections and next investigation.</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The supplied sources sometimes use broad process-mapping terms. Here VSM means end-to-end flow plus information and operating data; M05 spaghetti mapping means movement or navigation. Neither map proves a cause without supporting evidence.</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M03, M04, M06, M08, M09  |  METHOD SOURCES: U02, R17</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57.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M03  Swimlane and handoff analysis</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Clarify who does what and what makes a handoff complete.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M03</x:v>
      </x:c>
      <x:c r="B9" s="34"/>
      <x:c r="C9" s="34"/>
      <x:c r="D9" s="34"/>
      <x:c r="E9" s="34"/>
      <x:c r="F9" s="34"/>
      <x:c r="G9" s="34"/>
      <x:c r="H9" s="34"/>
      <x:c r="I9" s="34"/>
      <x:c r="J9" s="34"/>
      <x:c r="K9" s="34"/>
      <x:c r="L9" s="34"/>
      <x:c r="M9" s="3"/>
      <x:c r="N9" s="3"/>
      <x:c r="O9" s="3"/>
      <x:c r="P9" s="3"/>
      <x:c r="Q9" s="3"/>
      <x:c r="R9" s="3"/>
    </x:row>
    <x:row r="10" ht="20" customHeight="1">
      <x:c r="A10" s="40" t="str">
        <x:v>01  Lanes and boundary</x:v>
      </x:c>
      <x:c r="B10" s="40"/>
      <x:c r="C10" s="40"/>
      <x:c r="D10" s="17" t="str">
        <x:v>Name roles and process limits.</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Activities and decisions</x:v>
      </x:c>
      <x:c r="B16" s="40"/>
      <x:c r="C16" s="40"/>
      <x:c r="D16" s="17" t="str">
        <x:v>Record the actual route.</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Handoff requirements</x:v>
      </x:c>
      <x:c r="B22" s="40"/>
      <x:c r="C22" s="40"/>
      <x:c r="D22" s="17" t="str">
        <x:v>Define what must be complete.</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Queue ownership</x:v>
      </x:c>
      <x:c r="B28" s="40"/>
      <x:c r="C28" s="40"/>
      <x:c r="D28" s="17" t="str">
        <x:v>Identify accountability during waiting.</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Failure and return route</x:v>
      </x:c>
      <x:c r="B34" s="40"/>
      <x:c r="C34" s="40"/>
      <x:c r="D34" s="17" t="str">
        <x:v>Describe rework and escalation.</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Improvement and test</x:v>
      </x:c>
      <x:c r="B40" s="40"/>
      <x:c r="C40" s="40"/>
      <x:c r="D40" s="17" t="str">
        <x:v>Specify a change and evidence.</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A responsibility map is not a substitute for authority. Do not assign approval rights that conflict with organisational policy. Keep the map at a usable level rather than modelling every mouse click.</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F01, F03, L05  |  METHOD SOURCES: U02, R19</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58.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M04  Waste walk and opportunity register</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Identify avoidable work without confusing people or necessary controls with waste.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M04</x:v>
      </x:c>
      <x:c r="B9" s="34"/>
      <x:c r="C9" s="34"/>
      <x:c r="D9" s="34"/>
      <x:c r="E9" s="34"/>
      <x:c r="F9" s="34"/>
      <x:c r="G9" s="34"/>
      <x:c r="H9" s="34"/>
      <x:c r="I9" s="34"/>
      <x:c r="J9" s="34"/>
      <x:c r="K9" s="34"/>
      <x:c r="L9" s="34"/>
      <x:c r="M9" s="3"/>
      <x:c r="N9" s="3"/>
      <x:c r="O9" s="3"/>
      <x:c r="P9" s="3"/>
      <x:c r="Q9" s="3"/>
      <x:c r="R9" s="3"/>
    </x:row>
    <x:row r="10" ht="20" customHeight="1">
      <x:c r="A10" s="40" t="str">
        <x:v>01  Observation and evidence</x:v>
      </x:c>
      <x:c r="B10" s="40"/>
      <x:c r="C10" s="40"/>
      <x:c r="D10" s="17" t="str">
        <x:v>Record a specific event.</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Category</x:v>
      </x:c>
      <x:c r="B16" s="40"/>
      <x:c r="C16" s="40"/>
      <x:c r="D16" s="17" t="str">
        <x:v>Select classic seven or unused skills.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Value and necessity</x:v>
      </x:c>
      <x:c r="B22" s="40"/>
      <x:c r="C22" s="40"/>
      <x:c r="D22" s="17" t="str">
        <x:v>Distinguish avoidable and enabling work.</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Cause and system conditions</x:v>
      </x:c>
      <x:c r="B28" s="40"/>
      <x:c r="C28" s="40"/>
      <x:c r="D28" s="17" t="str">
        <x:v>Record hypotheses to verify.</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Countermeasure and risk</x:v>
      </x:c>
      <x:c r="B34" s="40"/>
      <x:c r="C34" s="40"/>
      <x:c r="D34" s="17" t="str">
        <x:v>Propose a safe experiment.</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Priority and follow-up</x:v>
      </x:c>
      <x:c r="B40" s="40"/>
      <x:c r="C40" s="40"/>
      <x:c r="D40" s="17" t="str">
        <x:v>Assign evidence, owner and next test.</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People are never waste. A control may not directly create user-visible value but still be essential. Do not multiply a short observation into an annual saving without representative demand and time evidence.</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M06, P09, F01, F11  |  METHOD SOURCES: U02, U03, R13</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4" t="str">
        <x:v>LIVE WORKING REGISTER | Add evidence, ownership and a review date.</x:v>
      </x:c>
      <x:c r="B53" s="34"/>
      <x:c r="C53" s="34"/>
      <x:c r="D53" s="34"/>
      <x:c r="E53" s="34"/>
      <x:c r="F53" s="34"/>
      <x:c r="G53" s="34"/>
      <x:c r="H53" s="34"/>
      <x:c r="I53" s="34"/>
      <x:c r="J53" s="34"/>
      <x:c r="K53" s="34"/>
      <x:c r="L53" s="34"/>
      <x:c r="M53" s="3"/>
      <x:c r="N53" s="3"/>
      <x:c r="O53" s="3"/>
      <x:c r="P53" s="3"/>
      <x:c r="Q53" s="3"/>
      <x:c r="R53" s="3"/>
    </x:row>
    <x:row r="54" ht="20" customHeight="1">
      <x:c r="A54" s="34"/>
      <x:c r="B54" s="34"/>
      <x:c r="C54" s="34"/>
      <x:c r="D54" s="34"/>
      <x:c r="E54" s="34"/>
      <x:c r="F54" s="34"/>
      <x:c r="G54" s="34"/>
      <x:c r="H54" s="34"/>
      <x:c r="I54" s="34"/>
      <x:c r="J54" s="34"/>
      <x:c r="K54" s="34"/>
      <x:c r="L54" s="34"/>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38" customHeight="1">
      <x:c r="A56" s="77" t="str">
        <x:v>Step/location</x:v>
      </x:c>
      <x:c r="B56" s="77" t="str">
        <x:v>Waste category</x:v>
      </x:c>
      <x:c r="C56" s="77" t="str">
        <x:v>Observed example</x:v>
      </x:c>
      <x:c r="D56" s="77" t="str">
        <x:v>Frequency/sample</x:v>
      </x:c>
      <x:c r="E56" s="77" t="str">
        <x:v>Effect on user or staff</x:v>
      </x:c>
      <x:c r="F56" s="77" t="str">
        <x:v>Necessary control?</x:v>
      </x:c>
      <x:c r="G56" s="77" t="str">
        <x:v>Test idea</x:v>
      </x:c>
      <x:c r="H56" s="77" t="str">
        <x:v>Owner</x:v>
      </x:c>
      <x:c r="I56" s="3"/>
      <x:c r="J56" s="3"/>
      <x:c r="K56" s="3"/>
      <x:c r="L56" s="3"/>
      <x:c r="M56" s="3"/>
      <x:c r="N56" s="3"/>
      <x:c r="O56" s="3"/>
      <x:c r="P56" s="3"/>
      <x:c r="Q56" s="3"/>
      <x:c r="R56" s="3"/>
    </x:row>
    <x:row r="57" ht="34" customHeight="1">
      <x:c r="A57" s="46"/>
      <x:c r="B57" s="46"/>
      <x:c r="C57" s="46"/>
      <x:c r="D57" s="46"/>
      <x:c r="E57" s="46"/>
      <x:c r="F57" s="46"/>
      <x:c r="G57" s="46"/>
      <x:c r="H57" s="46"/>
      <x:c r="I57" s="3"/>
      <x:c r="J57" s="3"/>
      <x:c r="K57" s="3"/>
      <x:c r="L57" s="3"/>
      <x:c r="M57" s="3"/>
      <x:c r="N57" s="3"/>
      <x:c r="O57" s="3"/>
      <x:c r="P57" s="3"/>
      <x:c r="Q57" s="3"/>
      <x:c r="R57" s="3"/>
    </x:row>
    <x:row r="58" ht="34" customHeight="1">
      <x:c r="A58" s="46"/>
      <x:c r="B58" s="46"/>
      <x:c r="C58" s="46"/>
      <x:c r="D58" s="46"/>
      <x:c r="E58" s="46"/>
      <x:c r="F58" s="46"/>
      <x:c r="G58" s="46"/>
      <x:c r="H58" s="46"/>
      <x:c r="I58" s="3"/>
      <x:c r="J58" s="3"/>
      <x:c r="K58" s="3"/>
      <x:c r="L58" s="3"/>
      <x:c r="M58" s="3"/>
      <x:c r="N58" s="3"/>
      <x:c r="O58" s="3"/>
      <x:c r="P58" s="3"/>
      <x:c r="Q58" s="3"/>
      <x:c r="R58" s="3"/>
    </x:row>
    <x:row r="59" ht="34" customHeight="1">
      <x:c r="A59" s="46"/>
      <x:c r="B59" s="46"/>
      <x:c r="C59" s="46"/>
      <x:c r="D59" s="46"/>
      <x:c r="E59" s="46"/>
      <x:c r="F59" s="46"/>
      <x:c r="G59" s="46"/>
      <x:c r="H59" s="46"/>
      <x:c r="I59" s="3"/>
      <x:c r="J59" s="3"/>
      <x:c r="K59" s="3"/>
      <x:c r="L59" s="3"/>
      <x:c r="M59" s="3"/>
      <x:c r="N59" s="3"/>
      <x:c r="O59" s="3"/>
      <x:c r="P59" s="3"/>
      <x:c r="Q59" s="3"/>
      <x:c r="R59" s="3"/>
    </x:row>
    <x:row r="60" ht="34" customHeight="1">
      <x:c r="A60" s="46"/>
      <x:c r="B60" s="46"/>
      <x:c r="C60" s="46"/>
      <x:c r="D60" s="46"/>
      <x:c r="E60" s="46"/>
      <x:c r="F60" s="46"/>
      <x:c r="G60" s="46"/>
      <x:c r="H60" s="46"/>
      <x:c r="I60" s="3"/>
      <x:c r="J60" s="3"/>
      <x:c r="K60" s="3"/>
      <x:c r="L60" s="3"/>
      <x:c r="M60" s="3"/>
      <x:c r="N60" s="3"/>
      <x:c r="O60" s="3"/>
      <x:c r="P60" s="3"/>
      <x:c r="Q60" s="3"/>
      <x:c r="R60" s="3"/>
    </x:row>
    <x:row r="61" ht="34" customHeight="1">
      <x:c r="A61" s="46"/>
      <x:c r="B61" s="46"/>
      <x:c r="C61" s="46"/>
      <x:c r="D61" s="46"/>
      <x:c r="E61" s="46"/>
      <x:c r="F61" s="46"/>
      <x:c r="G61" s="46"/>
      <x:c r="H61" s="46"/>
      <x:c r="I61" s="3"/>
      <x:c r="J61" s="3"/>
      <x:c r="K61" s="3"/>
      <x:c r="L61" s="3"/>
      <x:c r="M61" s="3"/>
      <x:c r="N61" s="3"/>
      <x:c r="O61" s="3"/>
      <x:c r="P61" s="3"/>
      <x:c r="Q61" s="3"/>
      <x:c r="R61" s="3"/>
    </x:row>
    <x:row r="62" ht="34" customHeight="1">
      <x:c r="A62" s="46"/>
      <x:c r="B62" s="46"/>
      <x:c r="C62" s="46"/>
      <x:c r="D62" s="46"/>
      <x:c r="E62" s="46"/>
      <x:c r="F62" s="46"/>
      <x:c r="G62" s="46"/>
      <x:c r="H62" s="46"/>
      <x:c r="I62" s="3"/>
      <x:c r="J62" s="3"/>
      <x:c r="K62" s="3"/>
      <x:c r="L62" s="3"/>
      <x:c r="M62" s="3"/>
      <x:c r="N62" s="3"/>
      <x:c r="O62" s="3"/>
      <x:c r="P62" s="3"/>
      <x:c r="Q62" s="3"/>
      <x:c r="R62" s="3"/>
    </x:row>
    <x:row r="63" ht="34" customHeight="1">
      <x:c r="A63" s="46"/>
      <x:c r="B63" s="46"/>
      <x:c r="C63" s="46"/>
      <x:c r="D63" s="46"/>
      <x:c r="E63" s="46"/>
      <x:c r="F63" s="46"/>
      <x:c r="G63" s="46"/>
      <x:c r="H63" s="46"/>
      <x:c r="I63" s="3"/>
      <x:c r="J63" s="3"/>
      <x:c r="K63" s="3"/>
      <x:c r="L63" s="3"/>
      <x:c r="M63" s="3"/>
      <x:c r="N63" s="3"/>
      <x:c r="O63" s="3"/>
      <x:c r="P63" s="3"/>
      <x:c r="Q63" s="3"/>
      <x:c r="R63" s="3"/>
    </x:row>
    <x:row r="64" ht="34" customHeight="1">
      <x:c r="A64" s="46"/>
      <x:c r="B64" s="46"/>
      <x:c r="C64" s="46"/>
      <x:c r="D64" s="46"/>
      <x:c r="E64" s="46"/>
      <x:c r="F64" s="46"/>
      <x:c r="G64" s="46"/>
      <x:c r="H64" s="46"/>
      <x:c r="I64" s="3"/>
      <x:c r="J64" s="3"/>
      <x:c r="K64" s="3"/>
      <x:c r="L64" s="3"/>
      <x:c r="M64" s="3"/>
      <x:c r="N64" s="3"/>
      <x:c r="O64" s="3"/>
      <x:c r="P64" s="3"/>
      <x:c r="Q64" s="3"/>
      <x:c r="R64" s="3"/>
    </x:row>
    <x:row r="65" ht="34" customHeight="1">
      <x:c r="A65" s="46"/>
      <x:c r="B65" s="46"/>
      <x:c r="C65" s="46"/>
      <x:c r="D65" s="46"/>
      <x:c r="E65" s="46"/>
      <x:c r="F65" s="46"/>
      <x:c r="G65" s="46"/>
      <x:c r="H65" s="46"/>
      <x:c r="I65" s="3"/>
      <x:c r="J65" s="3"/>
      <x:c r="K65" s="3"/>
      <x:c r="L65" s="3"/>
      <x:c r="M65" s="3"/>
      <x:c r="N65" s="3"/>
      <x:c r="O65" s="3"/>
      <x:c r="P65" s="3"/>
      <x:c r="Q65" s="3"/>
      <x:c r="R65" s="3"/>
    </x:row>
    <x:row r="66" ht="34" customHeight="1">
      <x:c r="A66" s="46"/>
      <x:c r="B66" s="46"/>
      <x:c r="C66" s="46"/>
      <x:c r="D66" s="46"/>
      <x:c r="E66" s="46"/>
      <x:c r="F66" s="46"/>
      <x:c r="G66" s="46"/>
      <x:c r="H66" s="46"/>
      <x:c r="I66" s="3"/>
      <x:c r="J66" s="3"/>
      <x:c r="K66" s="3"/>
      <x:c r="L66" s="3"/>
      <x:c r="M66" s="3"/>
      <x:c r="N66" s="3"/>
      <x:c r="O66" s="3"/>
      <x:c r="P66" s="3"/>
      <x:c r="Q66" s="3"/>
      <x:c r="R66" s="3"/>
    </x:row>
    <x:row r="67" ht="34" customHeight="1">
      <x:c r="A67" s="46"/>
      <x:c r="B67" s="46"/>
      <x:c r="C67" s="46"/>
      <x:c r="D67" s="46"/>
      <x:c r="E67" s="46"/>
      <x:c r="F67" s="46"/>
      <x:c r="G67" s="46"/>
      <x:c r="H67" s="46"/>
      <x:c r="I67" s="3"/>
      <x:c r="J67" s="3"/>
      <x:c r="K67" s="3"/>
      <x:c r="L67" s="3"/>
      <x:c r="M67" s="3"/>
      <x:c r="N67" s="3"/>
      <x:c r="O67" s="3"/>
      <x:c r="P67" s="3"/>
      <x:c r="Q67" s="3"/>
      <x:c r="R67" s="3"/>
    </x:row>
    <x:row r="68" ht="34" customHeight="1">
      <x:c r="A68" s="46"/>
      <x:c r="B68" s="46"/>
      <x:c r="C68" s="46"/>
      <x:c r="D68" s="46"/>
      <x:c r="E68" s="46"/>
      <x:c r="F68" s="46"/>
      <x:c r="G68" s="46"/>
      <x:c r="H68" s="46"/>
      <x:c r="I68" s="3"/>
      <x:c r="J68" s="3"/>
      <x:c r="K68" s="3"/>
      <x:c r="L68" s="3"/>
      <x:c r="M68" s="3"/>
      <x:c r="N68" s="3"/>
      <x:c r="O68" s="3"/>
      <x:c r="P68" s="3"/>
      <x:c r="Q68" s="3"/>
      <x:c r="R68" s="3"/>
    </x:row>
    <x:row r="69" ht="34" customHeight="1">
      <x:c r="A69" s="46"/>
      <x:c r="B69" s="46"/>
      <x:c r="C69" s="46"/>
      <x:c r="D69" s="46"/>
      <x:c r="E69" s="46"/>
      <x:c r="F69" s="46"/>
      <x:c r="G69" s="46"/>
      <x:c r="H69" s="46"/>
      <x:c r="I69" s="3"/>
      <x:c r="J69" s="3"/>
      <x:c r="K69" s="3"/>
      <x:c r="L69" s="3"/>
      <x:c r="M69" s="3"/>
      <x:c r="N69" s="3"/>
      <x:c r="O69" s="3"/>
      <x:c r="P69" s="3"/>
      <x:c r="Q69" s="3"/>
      <x:c r="R69" s="3"/>
    </x:row>
    <x:row r="70" ht="34" customHeight="1">
      <x:c r="A70" s="46"/>
      <x:c r="B70" s="46"/>
      <x:c r="C70" s="46"/>
      <x:c r="D70" s="46"/>
      <x:c r="E70" s="46"/>
      <x:c r="F70" s="46"/>
      <x:c r="G70" s="46"/>
      <x:c r="H70" s="46"/>
      <x:c r="I70" s="3"/>
      <x:c r="J70" s="3"/>
      <x:c r="K70" s="3"/>
      <x:c r="L70" s="3"/>
      <x:c r="M70" s="3"/>
      <x:c r="N70" s="3"/>
      <x:c r="O70" s="3"/>
      <x:c r="P70" s="3"/>
      <x:c r="Q70" s="3"/>
      <x:c r="R70" s="3"/>
    </x:row>
    <x:row r="71" ht="34" customHeight="1">
      <x:c r="A71" s="46"/>
      <x:c r="B71" s="46"/>
      <x:c r="C71" s="46"/>
      <x:c r="D71" s="46"/>
      <x:c r="E71" s="46"/>
      <x:c r="F71" s="46"/>
      <x:c r="G71" s="46"/>
      <x:c r="H71" s="46"/>
      <x:c r="I71" s="3"/>
      <x:c r="J71" s="3"/>
      <x:c r="K71" s="3"/>
      <x:c r="L71" s="3"/>
      <x:c r="M71" s="3"/>
      <x:c r="N71" s="3"/>
      <x:c r="O71" s="3"/>
      <x:c r="P71" s="3"/>
      <x:c r="Q71" s="3"/>
      <x:c r="R71" s="3"/>
    </x:row>
    <x:row r="72" ht="34" customHeight="1">
      <x:c r="A72" s="46"/>
      <x:c r="B72" s="46"/>
      <x:c r="C72" s="46"/>
      <x:c r="D72" s="46"/>
      <x:c r="E72" s="46"/>
      <x:c r="F72" s="46"/>
      <x:c r="G72" s="46"/>
      <x:c r="H72" s="46"/>
      <x:c r="I72" s="3"/>
      <x:c r="J72" s="3"/>
      <x:c r="K72" s="3"/>
      <x:c r="L72" s="3"/>
      <x:c r="M72" s="3"/>
      <x:c r="N72" s="3"/>
      <x:c r="O72" s="3"/>
      <x:c r="P72" s="3"/>
      <x:c r="Q72" s="3"/>
      <x:c r="R72" s="3"/>
    </x:row>
    <x:row r="73" ht="34" customHeight="1">
      <x:c r="A73" s="46"/>
      <x:c r="B73" s="46"/>
      <x:c r="C73" s="46"/>
      <x:c r="D73" s="46"/>
      <x:c r="E73" s="46"/>
      <x:c r="F73" s="46"/>
      <x:c r="G73" s="46"/>
      <x:c r="H73" s="46"/>
      <x:c r="I73" s="3"/>
      <x:c r="J73" s="3"/>
      <x:c r="K73" s="3"/>
      <x:c r="L73" s="3"/>
      <x:c r="M73" s="3"/>
      <x:c r="N73" s="3"/>
      <x:c r="O73" s="3"/>
      <x:c r="P73" s="3"/>
      <x:c r="Q73" s="3"/>
      <x:c r="R73" s="3"/>
    </x:row>
    <x:row r="74" ht="34" customHeight="1">
      <x:c r="A74" s="46"/>
      <x:c r="B74" s="46"/>
      <x:c r="C74" s="46"/>
      <x:c r="D74" s="46"/>
      <x:c r="E74" s="46"/>
      <x:c r="F74" s="46"/>
      <x:c r="G74" s="46"/>
      <x:c r="H74" s="46"/>
      <x:c r="I74" s="3"/>
      <x:c r="J74" s="3"/>
      <x:c r="K74" s="3"/>
      <x:c r="L74" s="3"/>
      <x:c r="M74" s="3"/>
      <x:c r="N74" s="3"/>
      <x:c r="O74" s="3"/>
      <x:c r="P74" s="3"/>
      <x:c r="Q74" s="3"/>
      <x:c r="R74" s="3"/>
    </x:row>
    <x:row r="75" ht="34" customHeight="1">
      <x:c r="A75" s="46"/>
      <x:c r="B75" s="46"/>
      <x:c r="C75" s="46"/>
      <x:c r="D75" s="46"/>
      <x:c r="E75" s="46"/>
      <x:c r="F75" s="46"/>
      <x:c r="G75" s="46"/>
      <x:c r="H75" s="46"/>
      <x:c r="I75" s="3"/>
      <x:c r="J75" s="3"/>
      <x:c r="K75" s="3"/>
      <x:c r="L75" s="3"/>
      <x:c r="M75" s="3"/>
      <x:c r="N75" s="3"/>
      <x:c r="O75" s="3"/>
      <x:c r="P75" s="3"/>
      <x:c r="Q75" s="3"/>
      <x:c r="R75" s="3"/>
    </x:row>
    <x:row r="76" ht="34" customHeight="1">
      <x:c r="A76" s="46"/>
      <x:c r="B76" s="46"/>
      <x:c r="C76" s="46"/>
      <x:c r="D76" s="46"/>
      <x:c r="E76" s="46"/>
      <x:c r="F76" s="46"/>
      <x:c r="G76" s="46"/>
      <x:c r="H76" s="46"/>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136" t="str">
        <x:v>Record facts separately from hypotheses. A populated row is not approval: keep the decision authority and supporting evidence explicit. Review access controls before entering identifiable or sensitive information.</x:v>
      </x:c>
      <x:c r="B79" s="136"/>
      <x:c r="C79" s="136"/>
      <x:c r="D79" s="136"/>
      <x:c r="E79" s="136"/>
      <x:c r="F79" s="136"/>
      <x:c r="G79" s="136"/>
      <x:c r="H79" s="136"/>
      <x:c r="I79" s="136"/>
      <x:c r="J79" s="136"/>
      <x:c r="K79" s="136"/>
      <x:c r="L79" s="136"/>
      <x:c r="M79" s="3"/>
      <x:c r="N79" s="3"/>
      <x:c r="O79" s="3"/>
      <x:c r="P79" s="3"/>
      <x:c r="Q79" s="3"/>
      <x:c r="R79" s="3"/>
    </x:row>
    <x:row r="80" ht="20" customHeight="1">
      <x:c r="A80" s="136"/>
      <x:c r="B80" s="136"/>
      <x:c r="C80" s="136"/>
      <x:c r="D80" s="136"/>
      <x:c r="E80" s="136"/>
      <x:c r="F80" s="136"/>
      <x:c r="G80" s="136"/>
      <x:c r="H80" s="136"/>
      <x:c r="I80" s="136"/>
      <x:c r="J80" s="136"/>
      <x:c r="K80" s="136"/>
      <x:c r="L80" s="136"/>
      <x:c r="M80" s="3"/>
      <x:c r="N80" s="3"/>
      <x:c r="O80" s="3"/>
      <x:c r="P80" s="3"/>
      <x:c r="Q80" s="3"/>
      <x:c r="R80" s="3"/>
    </x:row>
    <x:row r="81" ht="20" customHeight="1">
      <x:c r="A81" s="136"/>
      <x:c r="B81" s="136"/>
      <x:c r="C81" s="136"/>
      <x:c r="D81" s="136"/>
      <x:c r="E81" s="136"/>
      <x:c r="F81" s="136"/>
      <x:c r="G81" s="136"/>
      <x:c r="H81" s="136"/>
      <x:c r="I81" s="136"/>
      <x:c r="J81" s="136"/>
      <x:c r="K81" s="136"/>
      <x:c r="L81" s="136"/>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 ref="A53:L54"/>
    <x:mergeCell ref="A79:L81"/>
  </x:mergeCells>
  <x:pageMargins left="0.7" right="0.7" top="0.75" bottom="0.75" header="0.3" footer="0.3"/>
</x:worksheet>
</file>

<file path=xl/worksheets/sheet59.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M05  Spaghetti map and digital navigation trace</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Trace physical movement or digital switching that interrupts useful work.</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M05</x:v>
      </x:c>
      <x:c r="B9" s="34"/>
      <x:c r="C9" s="34"/>
      <x:c r="D9" s="34"/>
      <x:c r="E9" s="34"/>
      <x:c r="F9" s="34"/>
      <x:c r="G9" s="34"/>
      <x:c r="H9" s="34"/>
      <x:c r="I9" s="34"/>
      <x:c r="J9" s="34"/>
      <x:c r="K9" s="34"/>
      <x:c r="L9" s="34"/>
      <x:c r="M9" s="3"/>
      <x:c r="N9" s="3"/>
      <x:c r="O9" s="3"/>
      <x:c r="P9" s="3"/>
      <x:c r="Q9" s="3"/>
      <x:c r="R9" s="3"/>
    </x:row>
    <x:row r="10" ht="20" customHeight="1">
      <x:c r="A10" s="40" t="str">
        <x:v>01  Task and scope</x:v>
      </x:c>
      <x:c r="B10" s="40"/>
      <x:c r="C10" s="40"/>
      <x:c r="D10" s="17" t="str">
        <x:v>Define what is being traced.</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Layout or system map</x:v>
      </x:c>
      <x:c r="B16" s="40"/>
      <x:c r="C16" s="40"/>
      <x:c r="D16" s="17" t="str">
        <x:v>Identify destinations without personal data.</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Actual route</x:v>
      </x:c>
      <x:c r="B22" s="40"/>
      <x:c r="C22" s="40"/>
      <x:c r="D22" s="17" t="str">
        <x:v>Record sequence, returns and switches.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Time or movement</x:v>
      </x:c>
      <x:c r="B28" s="40"/>
      <x:c r="C28" s="40"/>
      <x:c r="D28" s="17" t="str">
        <x:v>Measure with explicit units.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Redesign hypothesis</x:v>
      </x:c>
      <x:c r="B34" s="40"/>
      <x:c r="C34" s="40"/>
      <x:c r="D34" s="17" t="str">
        <x:v>Explain the proposed change and safeguards.</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Comparison and learning</x:v>
      </x:c>
      <x:c r="B40" s="40"/>
      <x:c r="C40" s="40"/>
      <x:c r="D40" s="17" t="str">
        <x:v>Repeat under comparable conditions.</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A shorter route is not automatically a better process. Preserve ergonomic, access, security and quality requirements. Digital traces should not become covert surveillance or expose confidential content.</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F02, F03, F11  |  METHOD SOURCES: U03, R19</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60.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36" hidden="0" customWidth="1"/>
    <x:col min="2" max="2" width="19" hidden="0" customWidth="1"/>
    <x:col min="3" max="3" width="25" hidden="0" customWidth="1"/>
    <x:col min="4" max="4" width="55" hidden="0" customWidth="1"/>
    <x:col min="5" max="5" width="25" hidden="0" customWidth="1"/>
    <x:col min="6" max="6" width="11" hidden="0" customWidth="1"/>
    <x:col min="7" max="7" width="33" hidden="0" customWidth="1"/>
    <x:col min="8" max="8" width="25"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M06  Value-added, touch-time and delay analysis</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Use consistent units to distinguish useful work, necessary work and avoidable effort.</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Activity</x:v>
      </x:c>
      <x:c r="B9" s="77" t="str">
        <x:v>Touch minutes</x:v>
      </x:c>
      <x:c r="C9" s="77" t="str">
        <x:v>Classification</x:v>
      </x:c>
      <x:c r="D9" s="77" t="str">
        <x:v>Evidence / rationale</x:v>
      </x:c>
      <x:c r="E9" s="77" t="str">
        <x:v>Check</x:v>
      </x:c>
      <x:c r="F9" s="3"/>
      <x:c r="G9" s="3"/>
      <x:c r="H9" s="3"/>
      <x:c r="I9" s="3"/>
      <x:c r="J9" s="3"/>
      <x:c r="K9" s="3"/>
      <x:c r="L9" s="3"/>
      <x:c r="M9" s="3"/>
      <x:c r="N9" s="3"/>
      <x:c r="O9" s="3"/>
      <x:c r="P9" s="3"/>
      <x:c r="Q9" s="3"/>
      <x:c r="R9" s="3"/>
    </x:row>
    <x:row r="10" ht="34" customHeight="1">
      <x:c r="A10" s="46"/>
      <x:c r="B10" s="46"/>
      <x:c r="C10" s="46"/>
      <x:c r="D10" s="46"/>
      <x:c r="E10" s="83" t="str">
        <x:f>IF(AND(A10="",B10="",C10=""),"",IF(OR(A10="",NOT(ISNUMBER(B10)),C10=""),"Incomplete",IF(B10&lt;0,"Invalid time",IF(NOT(OR(C10="Value adding",C10="Necessary enabling",C10="Avoidable")),"Classify before ratios","Valid"))))</x:f>
      </x:c>
      <x:c r="F10" s="3"/>
      <x:c r="G10" s="95" t="str">
        <x:v>Elapsed hours (one boundary)</x:v>
      </x:c>
      <x:c r="H10" s="108"/>
      <x:c r="I10" s="3"/>
      <x:c r="J10" s="3" t="str">
        <x:v>Category</x:v>
      </x:c>
      <x:c r="K10" s="3" t="str">
        <x:v>Minutes</x:v>
      </x:c>
      <x:c r="L10" s="3"/>
      <x:c r="M10" s="3"/>
      <x:c r="N10" s="3"/>
      <x:c r="O10" s="3"/>
      <x:c r="P10" s="3"/>
      <x:c r="Q10" s="3"/>
      <x:c r="R10" s="3"/>
    </x:row>
    <x:row r="11" ht="34" customHeight="1">
      <x:c r="A11" s="46"/>
      <x:c r="B11" s="46"/>
      <x:c r="C11" s="46"/>
      <x:c r="D11" s="46"/>
      <x:c r="E11" s="83" t="str">
        <x:f>IF(AND(A11="",B11="",C11=""),"",IF(OR(A11="",NOT(ISNUMBER(B11)),C11=""),"Incomplete",IF(B11&lt;0,"Invalid time",IF(NOT(OR(C11="Value adding",C11="Necessary enabling",C11="Avoidable")),"Classify before ratios","Valid"))))</x:f>
      </x:c>
      <x:c r="F11" s="3"/>
      <x:c r="G11" s="95" t="str">
        <x:v>Elapsed minutes</x:v>
      </x:c>
      <x:c r="H11" s="83" t="str">
        <x:f>IF(AND(ISNUMBER(H10),H10&gt;0),H10*'01 Setup'!$B$21,"")</x:f>
      </x:c>
      <x:c r="I11" s="3"/>
      <x:c r="J11" s="3" t="str">
        <x:v>Value adding</x:v>
      </x:c>
      <x:c r="K11" s="3" t="n">
        <x:f>H13</x:f>
        <x:v>0</x:v>
      </x:c>
      <x:c r="L11" s="3"/>
      <x:c r="M11" s="3"/>
      <x:c r="N11" s="3"/>
      <x:c r="O11" s="3"/>
      <x:c r="P11" s="3"/>
      <x:c r="Q11" s="3"/>
      <x:c r="R11" s="3"/>
    </x:row>
    <x:row r="12" ht="34" customHeight="1">
      <x:c r="A12" s="46"/>
      <x:c r="B12" s="46"/>
      <x:c r="C12" s="46"/>
      <x:c r="D12" s="46"/>
      <x:c r="E12" s="83" t="str">
        <x:f>IF(AND(A12="",B12="",C12=""),"",IF(OR(A12="",NOT(ISNUMBER(B12)),C12=""),"Incomplete",IF(B12&lt;0,"Invalid time",IF(NOT(OR(C12="Value adding",C12="Necessary enabling",C12="Avoidable")),"Classify before ratios","Valid"))))</x:f>
      </x:c>
      <x:c r="F12" s="3"/>
      <x:c r="G12" s="95" t="str">
        <x:v>Total touch minutes</x:v>
      </x:c>
      <x:c r="H12" s="83" t="str">
        <x:f>IF(AND(COUNTIF(E10:E29,"Valid")&gt;0,COUNTIF(E10:E29,"Incomplete")+COUNTIF(E10:E29,"Invalid time")+COUNTIF(E10:E29,"Classify before ratios")=0),SUM(B10:B29),"")</x:f>
      </x:c>
      <x:c r="I12" s="3"/>
      <x:c r="J12" s="3" t="str">
        <x:v>Necessary enabling</x:v>
      </x:c>
      <x:c r="K12" s="3" t="n">
        <x:f>H14</x:f>
        <x:v>0</x:v>
      </x:c>
      <x:c r="L12" s="3"/>
      <x:c r="M12" s="3"/>
      <x:c r="N12" s="3"/>
      <x:c r="O12" s="3"/>
      <x:c r="P12" s="3"/>
      <x:c r="Q12" s="3"/>
      <x:c r="R12" s="3"/>
    </x:row>
    <x:row r="13" ht="34" customHeight="1">
      <x:c r="A13" s="46"/>
      <x:c r="B13" s="46"/>
      <x:c r="C13" s="46"/>
      <x:c r="D13" s="46"/>
      <x:c r="E13" s="83" t="str">
        <x:f>IF(AND(A13="",B13="",C13=""),"",IF(OR(A13="",NOT(ISNUMBER(B13)),C13=""),"Incomplete",IF(B13&lt;0,"Invalid time",IF(NOT(OR(C13="Value adding",C13="Necessary enabling",C13="Avoidable")),"Classify before ratios","Valid"))))</x:f>
      </x:c>
      <x:c r="F13" s="3"/>
      <x:c r="G13" s="95" t="str">
        <x:v>Value-adding minutes</x:v>
      </x:c>
      <x:c r="H13" s="83" t="str">
        <x:f>IF(ISNUMBER(H12),SUMIF(C10:C29,"Value adding",B10:B29),"")</x:f>
      </x:c>
      <x:c r="I13" s="3"/>
      <x:c r="J13" s="3" t="str">
        <x:v>Avoidable</x:v>
      </x:c>
      <x:c r="K13" s="3" t="n">
        <x:f>H15</x:f>
        <x:v>0</x:v>
      </x:c>
      <x:c r="L13" s="3"/>
      <x:c r="M13" s="3"/>
      <x:c r="N13" s="3"/>
      <x:c r="O13" s="3"/>
      <x:c r="P13" s="3"/>
      <x:c r="Q13" s="3"/>
      <x:c r="R13" s="3"/>
    </x:row>
    <x:row r="14" ht="34" customHeight="1">
      <x:c r="A14" s="46"/>
      <x:c r="B14" s="46"/>
      <x:c r="C14" s="46"/>
      <x:c r="D14" s="46"/>
      <x:c r="E14" s="83" t="str">
        <x:f>IF(AND(A14="",B14="",C14=""),"",IF(OR(A14="",NOT(ISNUMBER(B14)),C14=""),"Incomplete",IF(B14&lt;0,"Invalid time",IF(NOT(OR(C14="Value adding",C14="Necessary enabling",C14="Avoidable")),"Classify before ratios","Valid"))))</x:f>
      </x:c>
      <x:c r="F14" s="3"/>
      <x:c r="G14" s="95" t="str">
        <x:v>Necessary enabling minutes</x:v>
      </x:c>
      <x:c r="H14" s="83" t="str">
        <x:f>IF(ISNUMBER(H12),SUMIF(C10:C29,"Necessary enabling",B10:B29),"")</x:f>
      </x:c>
      <x:c r="I14" s="3"/>
      <x:c r="J14" s="3"/>
      <x:c r="K14" s="3"/>
      <x:c r="L14" s="3"/>
      <x:c r="M14" s="3"/>
      <x:c r="N14" s="3"/>
      <x:c r="O14" s="3"/>
      <x:c r="P14" s="3"/>
      <x:c r="Q14" s="3"/>
      <x:c r="R14" s="3"/>
    </x:row>
    <x:row r="15" ht="34" customHeight="1">
      <x:c r="A15" s="46"/>
      <x:c r="B15" s="46"/>
      <x:c r="C15" s="46"/>
      <x:c r="D15" s="46"/>
      <x:c r="E15" s="83" t="str">
        <x:f>IF(AND(A15="",B15="",C15=""),"",IF(OR(A15="",NOT(ISNUMBER(B15)),C15=""),"Incomplete",IF(B15&lt;0,"Invalid time",IF(NOT(OR(C15="Value adding",C15="Necessary enabling",C15="Avoidable")),"Classify before ratios","Valid"))))</x:f>
      </x:c>
      <x:c r="F15" s="3"/>
      <x:c r="G15" s="95" t="str">
        <x:v>Avoidable minutes</x:v>
      </x:c>
      <x:c r="H15" s="83" t="str">
        <x:f>IF(ISNUMBER(H12),SUMIF(C10:C29,"Avoidable",B10:B29),"")</x:f>
      </x:c>
      <x:c r="I15" s="3"/>
      <x:c r="J15" s="3"/>
      <x:c r="K15" s="3"/>
      <x:c r="L15" s="3"/>
      <x:c r="M15" s="3"/>
      <x:c r="N15" s="3"/>
      <x:c r="O15" s="3"/>
      <x:c r="P15" s="3"/>
      <x:c r="Q15" s="3"/>
      <x:c r="R15" s="3"/>
    </x:row>
    <x:row r="16" ht="34" customHeight="1">
      <x:c r="A16" s="46"/>
      <x:c r="B16" s="46"/>
      <x:c r="C16" s="46"/>
      <x:c r="D16" s="46"/>
      <x:c r="E16" s="83" t="str">
        <x:f>IF(AND(A16="",B16="",C16=""),"",IF(OR(A16="",NOT(ISNUMBER(B16)),C16=""),"Incomplete",IF(B16&lt;0,"Invalid time",IF(NOT(OR(C16="Value adding",C16="Necessary enabling",C16="Avoidable")),"Classify before ratios","Valid"))))</x:f>
      </x:c>
      <x:c r="F16" s="3"/>
      <x:c r="G16" s="95" t="str">
        <x:v>Value / touch</x:v>
      </x:c>
      <x:c r="H16" s="116" t="str">
        <x:f>IF(AND(ISNUMBER(H12),H12&gt;0),H13/H12,"")</x:f>
      </x:c>
      <x:c r="I16" s="3"/>
      <x:c r="J16" s="3"/>
      <x:c r="K16" s="3"/>
      <x:c r="L16" s="3"/>
      <x:c r="M16" s="3"/>
      <x:c r="N16" s="3"/>
      <x:c r="O16" s="3"/>
      <x:c r="P16" s="3"/>
      <x:c r="Q16" s="3"/>
      <x:c r="R16" s="3"/>
    </x:row>
    <x:row r="17" ht="34" customHeight="1">
      <x:c r="A17" s="46"/>
      <x:c r="B17" s="46"/>
      <x:c r="C17" s="46"/>
      <x:c r="D17" s="46"/>
      <x:c r="E17" s="83" t="str">
        <x:f>IF(AND(A17="",B17="",C17=""),"",IF(OR(A17="",NOT(ISNUMBER(B17)),C17=""),"Incomplete",IF(B17&lt;0,"Invalid time",IF(NOT(OR(C17="Value adding",C17="Necessary enabling",C17="Avoidable")),"Classify before ratios","Valid"))))</x:f>
      </x:c>
      <x:c r="F17" s="3"/>
      <x:c r="G17" s="95" t="str">
        <x:v>Value / elapsed</x:v>
      </x:c>
      <x:c r="H17" s="116" t="str">
        <x:f>IF(AND(ISNUMBER(H11),ISNUMBER(H13),H12&lt;=H11),H13/H11,"")</x:f>
      </x:c>
      <x:c r="I17" s="3"/>
      <x:c r="J17" s="3"/>
      <x:c r="K17" s="3"/>
      <x:c r="L17" s="3"/>
      <x:c r="M17" s="3"/>
      <x:c r="N17" s="3"/>
      <x:c r="O17" s="3"/>
      <x:c r="P17" s="3"/>
      <x:c r="Q17" s="3"/>
      <x:c r="R17" s="3"/>
    </x:row>
    <x:row r="18" ht="34" customHeight="1">
      <x:c r="A18" s="46"/>
      <x:c r="B18" s="46"/>
      <x:c r="C18" s="46"/>
      <x:c r="D18" s="46"/>
      <x:c r="E18" s="83" t="str">
        <x:f>IF(AND(A18="",B18="",C18=""),"",IF(OR(A18="",NOT(ISNUMBER(B18)),C18=""),"Incomplete",IF(B18&lt;0,"Invalid time",IF(NOT(OR(C18="Value adding",C18="Necessary enabling",C18="Avoidable")),"Classify before ratios","Valid"))))</x:f>
      </x:c>
      <x:c r="F18" s="3"/>
      <x:c r="G18" s="95" t="str">
        <x:v>Touch / elapsed</x:v>
      </x:c>
      <x:c r="H18" s="116" t="str">
        <x:f>IF(AND(ISNUMBER(H11),ISNUMBER(H12),H12&lt;=H11),H12/H11,"")</x:f>
      </x:c>
      <x:c r="I18" s="3"/>
      <x:c r="J18" s="3"/>
      <x:c r="K18" s="3"/>
      <x:c r="L18" s="3"/>
      <x:c r="M18" s="3"/>
      <x:c r="N18" s="3"/>
      <x:c r="O18" s="3"/>
      <x:c r="P18" s="3"/>
      <x:c r="Q18" s="3"/>
      <x:c r="R18" s="3"/>
    </x:row>
    <x:row r="19" ht="34" customHeight="1">
      <x:c r="A19" s="46"/>
      <x:c r="B19" s="46"/>
      <x:c r="C19" s="46"/>
      <x:c r="D19" s="46"/>
      <x:c r="E19" s="83" t="str">
        <x:f>IF(AND(A19="",B19="",C19=""),"",IF(OR(A19="",NOT(ISNUMBER(B19)),C19=""),"Incomplete",IF(B19&lt;0,"Invalid time",IF(NOT(OR(C19="Value adding",C19="Necessary enabling",C19="Avoidable")),"Classify before ratios","Valid"))))</x:f>
      </x:c>
      <x:c r="F19" s="3"/>
      <x:c r="G19" s="3"/>
      <x:c r="H19" s="3"/>
      <x:c r="I19" s="3"/>
      <x:c r="J19" s="3"/>
      <x:c r="K19" s="3"/>
      <x:c r="L19" s="3"/>
      <x:c r="M19" s="3"/>
      <x:c r="N19" s="3"/>
      <x:c r="O19" s="3"/>
      <x:c r="P19" s="3"/>
      <x:c r="Q19" s="3"/>
      <x:c r="R19" s="3"/>
    </x:row>
    <x:row r="20" ht="34" customHeight="1">
      <x:c r="A20" s="46"/>
      <x:c r="B20" s="46"/>
      <x:c r="C20" s="46"/>
      <x:c r="D20" s="46"/>
      <x:c r="E20" s="83" t="str">
        <x:f>IF(AND(A20="",B20="",C20=""),"",IF(OR(A20="",NOT(ISNUMBER(B20)),C20=""),"Incomplete",IF(B20&lt;0,"Invalid time",IF(NOT(OR(C20="Value adding",C20="Necessary enabling",C20="Avoidable")),"Classify before ratios","Valid"))))</x:f>
      </x:c>
      <x:c r="F20" s="3"/>
      <x:c r="G20" s="3"/>
      <x:c r="H20" s="3"/>
      <x:c r="I20" s="3"/>
      <x:c r="J20" s="3"/>
      <x:c r="K20" s="3"/>
      <x:c r="L20" s="3"/>
      <x:c r="M20" s="3"/>
      <x:c r="N20" s="3"/>
      <x:c r="O20" s="3"/>
      <x:c r="P20" s="3"/>
      <x:c r="Q20" s="3"/>
      <x:c r="R20" s="3"/>
    </x:row>
    <x:row r="21" ht="38" customHeight="1">
      <x:c r="A21" s="46"/>
      <x:c r="B21" s="46"/>
      <x:c r="C21" s="46"/>
      <x:c r="D21" s="46"/>
      <x:c r="E21" s="83" t="str">
        <x:f>IF(AND(A21="",B21="",C21=""),"",IF(OR(A21="",NOT(ISNUMBER(B21)),C21=""),"Incomplete",IF(B21&lt;0,"Invalid time",IF(NOT(OR(C21="Value adding",C21="Necessary enabling",C21="Avoidable")),"Classify before ratios","Valid"))))</x:f>
      </x:c>
      <x:c r="F21" s="3"/>
      <x:c r="G21" s="66" t="str">
        <x:v>Delay minutes</x:v>
      </x:c>
      <x:c r="H21" s="66" t="str">
        <x:f>IF(AND(ISNUMBER(H11),ISNUMBER(H12),H12&lt;=H11),H11-H12,"")</x:f>
      </x:c>
      <x:c r="I21" s="3"/>
      <x:c r="J21" s="3"/>
      <x:c r="K21" s="3"/>
      <x:c r="L21" s="3"/>
      <x:c r="M21" s="3"/>
      <x:c r="N21" s="3"/>
      <x:c r="O21" s="3"/>
      <x:c r="P21" s="3"/>
      <x:c r="Q21" s="3"/>
      <x:c r="R21" s="3"/>
    </x:row>
    <x:row r="22" ht="38" customHeight="1">
      <x:c r="A22" s="46"/>
      <x:c r="B22" s="46"/>
      <x:c r="C22" s="46"/>
      <x:c r="D22" s="46"/>
      <x:c r="E22" s="83" t="str">
        <x:f>IF(AND(A22="",B22="",C22=""),"",IF(OR(A22="",NOT(ISNUMBER(B22)),C22=""),"Incomplete",IF(B22&lt;0,"Invalid time",IF(NOT(OR(C22="Value adding",C22="Necessary enabling",C22="Avoidable")),"Classify before ratios","Valid"))))</x:f>
      </x:c>
      <x:c r="F22" s="3"/>
      <x:c r="G22" s="66" t="str">
        <x:v>Timeline check</x:v>
      </x:c>
      <x:c r="H22" s="66" t="str">
        <x:f>IF(AND(ISNUMBER(H11),ISNUMBER(H12)),IF(H12&gt;H11,"Touch exceeds elapsed - review overlap/units","Review sequential boundary"),"Complete inputs")</x:f>
        <x:v>Complete inputs</x:v>
      </x:c>
      <x:c r="I22" s="3"/>
      <x:c r="J22" s="3"/>
      <x:c r="K22" s="3"/>
      <x:c r="L22" s="3"/>
      <x:c r="M22" s="3"/>
      <x:c r="N22" s="3"/>
      <x:c r="O22" s="3"/>
      <x:c r="P22" s="3"/>
      <x:c r="Q22" s="3"/>
      <x:c r="R22" s="3"/>
    </x:row>
    <x:row r="23" ht="38" customHeight="1">
      <x:c r="A23" s="46"/>
      <x:c r="B23" s="46"/>
      <x:c r="C23" s="46"/>
      <x:c r="D23" s="46"/>
      <x:c r="E23" s="83" t="str">
        <x:f>IF(AND(A23="",B23="",C23=""),"",IF(OR(A23="",NOT(ISNUMBER(B23)),C23=""),"Incomplete",IF(B23&lt;0,"Invalid time",IF(NOT(OR(C23="Value adding",C23="Necessary enabling",C23="Avoidable")),"Classify before ratios","Valid"))))</x:f>
      </x:c>
      <x:c r="F23" s="3"/>
      <x:c r="G23" s="66" t="str">
        <x:v>Interpretation</x:v>
      </x:c>
      <x:c r="H23" s="66" t="str">
        <x:v>Elapsed delay is not staff cost. Parallel activities require a proper timeline.</x:v>
      </x:c>
      <x:c r="I23" s="3"/>
      <x:c r="J23" s="3"/>
      <x:c r="K23" s="3"/>
      <x:c r="L23" s="3"/>
      <x:c r="M23" s="3"/>
      <x:c r="N23" s="3"/>
      <x:c r="O23" s="3"/>
      <x:c r="P23" s="3"/>
      <x:c r="Q23" s="3"/>
      <x:c r="R23" s="3"/>
    </x:row>
    <x:row r="24" ht="34" customHeight="1">
      <x:c r="A24" s="46"/>
      <x:c r="B24" s="46"/>
      <x:c r="C24" s="46"/>
      <x:c r="D24" s="46"/>
      <x:c r="E24" s="83" t="str">
        <x:f>IF(AND(A24="",B24="",C24=""),"",IF(OR(A24="",NOT(ISNUMBER(B24)),C24=""),"Incomplete",IF(B24&lt;0,"Invalid time",IF(NOT(OR(C24="Value adding",C24="Necessary enabling",C24="Avoidable")),"Classify before ratios","Valid"))))</x:f>
      </x:c>
      <x:c r="F24" s="3"/>
      <x:c r="G24" s="3"/>
      <x:c r="H24" s="3"/>
      <x:c r="I24" s="3"/>
      <x:c r="J24" s="3"/>
      <x:c r="K24" s="3"/>
      <x:c r="L24" s="3"/>
      <x:c r="M24" s="3"/>
      <x:c r="N24" s="3"/>
      <x:c r="O24" s="3"/>
      <x:c r="P24" s="3"/>
      <x:c r="Q24" s="3"/>
      <x:c r="R24" s="3"/>
    </x:row>
    <x:row r="25" ht="34" customHeight="1">
      <x:c r="A25" s="46"/>
      <x:c r="B25" s="46"/>
      <x:c r="C25" s="46"/>
      <x:c r="D25" s="46"/>
      <x:c r="E25" s="83" t="str">
        <x:f>IF(AND(A25="",B25="",C25=""),"",IF(OR(A25="",NOT(ISNUMBER(B25)),C25=""),"Incomplete",IF(B25&lt;0,"Invalid time",IF(NOT(OR(C25="Value adding",C25="Necessary enabling",C25="Avoidable")),"Classify before ratios","Valid"))))</x:f>
      </x:c>
      <x:c r="F25" s="3"/>
      <x:c r="G25" s="3"/>
      <x:c r="H25" s="3"/>
      <x:c r="I25" s="3"/>
      <x:c r="J25" s="3"/>
      <x:c r="K25" s="3"/>
      <x:c r="L25" s="3"/>
      <x:c r="M25" s="3"/>
      <x:c r="N25" s="3"/>
      <x:c r="O25" s="3"/>
      <x:c r="P25" s="3"/>
      <x:c r="Q25" s="3"/>
      <x:c r="R25" s="3"/>
    </x:row>
    <x:row r="26" ht="34" customHeight="1">
      <x:c r="A26" s="46"/>
      <x:c r="B26" s="46"/>
      <x:c r="C26" s="46"/>
      <x:c r="D26" s="46"/>
      <x:c r="E26" s="83" t="str">
        <x:f>IF(AND(A26="",B26="",C26=""),"",IF(OR(A26="",NOT(ISNUMBER(B26)),C26=""),"Incomplete",IF(B26&lt;0,"Invalid time",IF(NOT(OR(C26="Value adding",C26="Necessary enabling",C26="Avoidable")),"Classify before ratios","Valid"))))</x:f>
      </x:c>
      <x:c r="F26" s="3"/>
      <x:c r="G26" s="3"/>
      <x:c r="H26" s="3"/>
      <x:c r="I26" s="3"/>
      <x:c r="J26" s="3"/>
      <x:c r="K26" s="3"/>
      <x:c r="L26" s="3"/>
      <x:c r="M26" s="3"/>
      <x:c r="N26" s="3"/>
      <x:c r="O26" s="3"/>
      <x:c r="P26" s="3"/>
      <x:c r="Q26" s="3"/>
      <x:c r="R26" s="3"/>
    </x:row>
    <x:row r="27" ht="34" customHeight="1">
      <x:c r="A27" s="46"/>
      <x:c r="B27" s="46"/>
      <x:c r="C27" s="46"/>
      <x:c r="D27" s="46"/>
      <x:c r="E27" s="83" t="str">
        <x:f>IF(AND(A27="",B27="",C27=""),"",IF(OR(A27="",NOT(ISNUMBER(B27)),C27=""),"Incomplete",IF(B27&lt;0,"Invalid time",IF(NOT(OR(C27="Value adding",C27="Necessary enabling",C27="Avoidable")),"Classify before ratios","Valid"))))</x:f>
      </x:c>
      <x:c r="F27" s="3"/>
      <x:c r="G27" s="3"/>
      <x:c r="H27" s="3"/>
      <x:c r="I27" s="3"/>
      <x:c r="J27" s="3"/>
      <x:c r="K27" s="3"/>
      <x:c r="L27" s="3"/>
      <x:c r="M27" s="3"/>
      <x:c r="N27" s="3"/>
      <x:c r="O27" s="3"/>
      <x:c r="P27" s="3"/>
      <x:c r="Q27" s="3"/>
      <x:c r="R27" s="3"/>
    </x:row>
    <x:row r="28" ht="34" customHeight="1">
      <x:c r="A28" s="46"/>
      <x:c r="B28" s="46"/>
      <x:c r="C28" s="46"/>
      <x:c r="D28" s="46"/>
      <x:c r="E28" s="83" t="str">
        <x:f>IF(AND(A28="",B28="",C28=""),"",IF(OR(A28="",NOT(ISNUMBER(B28)),C28=""),"Incomplete",IF(B28&lt;0,"Invalid time",IF(NOT(OR(C28="Value adding",C28="Necessary enabling",C28="Avoidable")),"Classify before ratios","Valid"))))</x:f>
      </x:c>
      <x:c r="F28" s="3"/>
      <x:c r="G28" s="3"/>
      <x:c r="H28" s="3"/>
      <x:c r="I28" s="3"/>
      <x:c r="J28" s="3"/>
      <x:c r="K28" s="3"/>
      <x:c r="L28" s="3"/>
      <x:c r="M28" s="3"/>
      <x:c r="N28" s="3"/>
      <x:c r="O28" s="3"/>
      <x:c r="P28" s="3"/>
      <x:c r="Q28" s="3"/>
      <x:c r="R28" s="3"/>
    </x:row>
    <x:row r="29" ht="34" customHeight="1">
      <x:c r="A29" s="46"/>
      <x:c r="B29" s="46"/>
      <x:c r="C29" s="46"/>
      <x:c r="D29" s="46"/>
      <x:c r="E29" s="83" t="str">
        <x:f>IF(AND(A29="",B29="",C29=""),"",IF(OR(A29="",NOT(ISNUMBER(B29)),C29=""),"Incomplete",IF(B29&lt;0,"Invalid time",IF(NOT(OR(C29="Value adding",C29="Necessary enabling",C29="Avoidable")),"Classify before ratios","Valid"))))</x:f>
      </x:c>
      <x:c r="F29" s="3"/>
      <x:c r="G29" s="3"/>
      <x:c r="H29" s="3"/>
      <x:c r="I29" s="3"/>
      <x:c r="J29" s="3"/>
      <x:c r="K29" s="3"/>
      <x:c r="L29" s="3"/>
      <x:c r="M29" s="3"/>
      <x:c r="N29" s="3"/>
      <x:c r="O29" s="3"/>
      <x:c r="P29" s="3"/>
      <x:c r="Q29" s="3"/>
      <x:c r="R29" s="3"/>
    </x:row>
    <x:row r="30" ht="20" customHeight="1">
      <x:c r="A30" s="3"/>
      <x:c r="B30" s="3"/>
      <x:c r="C30" s="3"/>
      <x:c r="D30" s="3"/>
      <x:c r="E30" s="3"/>
      <x:c r="F30" s="3"/>
      <x:c r="G30" s="3"/>
      <x:c r="H30" s="3"/>
      <x:c r="I30" s="3"/>
      <x:c r="J30" s="3"/>
      <x:c r="K30" s="3"/>
      <x:c r="L30" s="3"/>
      <x:c r="M30" s="3"/>
      <x:c r="N30" s="3"/>
      <x:c r="O30" s="3"/>
      <x:c r="P30" s="3"/>
      <x:c r="Q30" s="3"/>
      <x:c r="R30" s="3"/>
    </x:row>
    <x:row r="31" ht="20" customHeight="1">
      <x:c r="A31" s="3"/>
      <x:c r="B31" s="3"/>
      <x:c r="C31" s="3"/>
      <x:c r="D31" s="3"/>
      <x:c r="E31" s="3"/>
      <x:c r="F31" s="3"/>
      <x:c r="G31" s="3"/>
      <x:c r="H31" s="3"/>
      <x:c r="I31" s="3"/>
      <x:c r="J31" s="3"/>
      <x:c r="K31" s="3"/>
      <x:c r="L31" s="3"/>
      <x:c r="M31" s="3"/>
      <x:c r="N31" s="3"/>
      <x:c r="O31" s="3"/>
      <x:c r="P31" s="3"/>
      <x:c r="Q31" s="3"/>
      <x:c r="R31" s="3"/>
    </x:row>
    <x:row r="32" ht="20" customHeight="1">
      <x:c r="A32" s="3"/>
      <x:c r="B32" s="3"/>
      <x:c r="C32" s="3"/>
      <x:c r="D32" s="3"/>
      <x:c r="E32" s="3"/>
      <x:c r="F32" s="3"/>
      <x:c r="G32" s="3"/>
      <x:c r="H32" s="3"/>
      <x:c r="I32" s="3"/>
      <x:c r="J32" s="3"/>
      <x:c r="K32" s="3"/>
      <x:c r="L32" s="3"/>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3"/>
      <x:c r="B34" s="3"/>
      <x:c r="C34" s="3"/>
      <x:c r="D34" s="3"/>
      <x:c r="E34" s="3"/>
      <x:c r="F34" s="3"/>
      <x:c r="G34" s="3"/>
      <x:c r="H34" s="3"/>
      <x:c r="I34" s="3"/>
      <x:c r="J34" s="3"/>
      <x:c r="K34" s="3"/>
      <x:c r="L34" s="3"/>
      <x:c r="M34" s="3"/>
      <x:c r="N34" s="3"/>
      <x:c r="O34" s="3"/>
      <x:c r="P34" s="3"/>
      <x:c r="Q34" s="3"/>
      <x:c r="R34" s="3"/>
    </x:row>
    <x:row r="35" ht="20" customHeight="1">
      <x:c r="A35" s="3"/>
      <x:c r="B35" s="3"/>
      <x:c r="C35" s="3"/>
      <x:c r="D35" s="3"/>
      <x:c r="E35" s="3"/>
      <x:c r="F35" s="3"/>
      <x:c r="G35" s="3"/>
      <x:c r="H35" s="3"/>
      <x:c r="I35" s="3"/>
      <x:c r="J35" s="3"/>
      <x:c r="K35" s="3"/>
      <x:c r="L35" s="3"/>
      <x:c r="M35" s="3"/>
      <x:c r="N35" s="3"/>
      <x:c r="O35" s="3"/>
      <x:c r="P35" s="3"/>
      <x:c r="Q35" s="3"/>
      <x:c r="R35" s="3"/>
    </x:row>
    <x:row r="36" ht="20" customHeight="1">
      <x:c r="A36" s="3"/>
      <x:c r="B36" s="3"/>
      <x:c r="C36" s="3"/>
      <x:c r="D36" s="3"/>
      <x:c r="E36" s="3"/>
      <x:c r="F36" s="3"/>
      <x:c r="G36" s="3"/>
      <x:c r="H36" s="3"/>
      <x:c r="I36" s="3"/>
      <x:c r="J36" s="3"/>
      <x:c r="K36" s="3"/>
      <x:c r="L36" s="3"/>
      <x:c r="M36" s="3"/>
      <x:c r="N36" s="3"/>
      <x:c r="O36" s="3"/>
      <x:c r="P36" s="3"/>
      <x:c r="Q36" s="3"/>
      <x:c r="R36" s="3"/>
    </x:row>
    <x:row r="37" ht="20" customHeight="1">
      <x:c r="A37" s="3"/>
      <x:c r="B37" s="3"/>
      <x:c r="C37" s="3"/>
      <x:c r="D37" s="3"/>
      <x:c r="E37" s="3"/>
      <x:c r="F37" s="3"/>
      <x:c r="G37" s="3"/>
      <x:c r="H37" s="3"/>
      <x:c r="I37" s="3"/>
      <x:c r="J37" s="3"/>
      <x:c r="K37" s="3"/>
      <x:c r="L37" s="3"/>
      <x:c r="M37" s="3"/>
      <x:c r="N37" s="3"/>
      <x:c r="O37" s="3"/>
      <x:c r="P37" s="3"/>
      <x:c r="Q37" s="3"/>
      <x:c r="R37" s="3"/>
    </x:row>
    <x:row r="38" ht="20" customHeight="1">
      <x:c r="A38" s="3"/>
      <x:c r="B38" s="3"/>
      <x:c r="C38" s="3"/>
      <x:c r="D38" s="3"/>
      <x:c r="E38" s="3"/>
      <x:c r="F38" s="3"/>
      <x:c r="G38" s="3"/>
      <x:c r="H38" s="3"/>
      <x:c r="I38" s="3"/>
      <x:c r="J38" s="3"/>
      <x:c r="K38" s="3"/>
      <x:c r="L38" s="3"/>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20" customHeight="1">
      <x:c r="A42" s="3"/>
      <x:c r="B42" s="3"/>
      <x:c r="C42" s="3"/>
      <x:c r="D42" s="3"/>
      <x:c r="E42" s="3"/>
      <x:c r="F42" s="3"/>
      <x:c r="G42" s="3"/>
      <x:c r="H42" s="3"/>
      <x:c r="I42" s="3"/>
      <x:c r="J42" s="3"/>
      <x:c r="K42" s="3"/>
      <x:c r="L42" s="3"/>
      <x:c r="M42" s="3"/>
      <x:c r="N42" s="3"/>
      <x:c r="O42" s="3"/>
      <x:c r="P42" s="3"/>
      <x:c r="Q42" s="3"/>
      <x:c r="R42" s="3"/>
    </x:row>
    <x:row r="43" ht="20" customHeight="1">
      <x:c r="A43" s="3"/>
      <x:c r="B43" s="3"/>
      <x:c r="C43" s="3"/>
      <x:c r="D43" s="3"/>
      <x:c r="E43" s="3"/>
      <x:c r="F43" s="3"/>
      <x:c r="G43" s="3"/>
      <x:c r="H43" s="3"/>
      <x:c r="I43" s="3"/>
      <x:c r="J43" s="3"/>
      <x:c r="K43" s="3"/>
      <x:c r="L43" s="3"/>
      <x:c r="M43" s="3"/>
      <x:c r="N43" s="3"/>
      <x:c r="O43" s="3"/>
      <x:c r="P43" s="3"/>
      <x:c r="Q43" s="3"/>
      <x:c r="R43" s="3"/>
    </x:row>
    <x:row r="44" ht="20" customHeight="1">
      <x:c r="A44" s="3"/>
      <x:c r="B44" s="3"/>
      <x:c r="C44" s="3"/>
      <x:c r="D44" s="3"/>
      <x:c r="E44" s="3"/>
      <x:c r="F44" s="3"/>
      <x:c r="G44" s="3"/>
      <x:c r="H44" s="3"/>
      <x:c r="I44" s="3"/>
      <x:c r="J44" s="3"/>
      <x:c r="K44" s="3"/>
      <x:c r="L44" s="3"/>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3"/>
      <x:c r="B47" s="3"/>
      <x:c r="C47" s="3"/>
      <x:c r="D47" s="3"/>
      <x:c r="E47" s="3"/>
      <x:c r="F47" s="3"/>
      <x:c r="G47" s="3"/>
      <x:c r="H47" s="3"/>
      <x:c r="I47" s="3"/>
      <x:c r="J47" s="3"/>
      <x:c r="K47" s="3"/>
      <x:c r="L47" s="3"/>
      <x:c r="M47" s="3"/>
      <x:c r="N47" s="3"/>
      <x:c r="O47" s="3"/>
      <x:c r="P47" s="3"/>
      <x:c r="Q47" s="3"/>
      <x:c r="R47" s="3"/>
    </x:row>
    <x:row r="48" ht="20" customHeight="1">
      <x:c r="A48" s="3"/>
      <x:c r="B48" s="3"/>
      <x:c r="C48" s="3"/>
      <x:c r="D48" s="3"/>
      <x:c r="E48" s="3"/>
      <x:c r="F48" s="3"/>
      <x:c r="G48" s="3"/>
      <x:c r="H48" s="3"/>
      <x:c r="I48" s="3"/>
      <x:c r="J48" s="3"/>
      <x:c r="K48" s="3"/>
      <x:c r="L48" s="3"/>
      <x:c r="M48" s="3"/>
      <x:c r="N48" s="3"/>
      <x:c r="O48" s="3"/>
      <x:c r="P48" s="3"/>
      <x:c r="Q48" s="3"/>
      <x:c r="R48" s="3"/>
    </x:row>
    <x:row r="49" ht="20" customHeight="1">
      <x:c r="A49" s="3"/>
      <x:c r="B49" s="3"/>
      <x:c r="C49" s="3"/>
      <x:c r="D49" s="3"/>
      <x:c r="E49" s="3"/>
      <x:c r="F49" s="3"/>
      <x:c r="G49" s="3"/>
      <x:c r="H49" s="3"/>
      <x:c r="I49" s="3"/>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M06</x:v>
      </x:c>
      <x:c r="B110" s="34"/>
      <x:c r="C110" s="34"/>
      <x:c r="D110" s="34"/>
      <x:c r="E110" s="34"/>
      <x:c r="F110" s="34"/>
      <x:c r="G110" s="34"/>
      <x:c r="H110" s="34"/>
      <x:c r="I110" s="34"/>
      <x:c r="J110" s="34"/>
      <x:c r="K110" s="34"/>
      <x:c r="L110" s="34"/>
      <x:c r="M110" s="3"/>
      <x:c r="N110" s="3"/>
      <x:c r="O110" s="3"/>
      <x:c r="P110" s="3"/>
      <x:c r="Q110" s="3"/>
      <x:c r="R110" s="3"/>
    </x:row>
    <x:row r="111" ht="20" customHeight="1">
      <x:c r="A111" s="40" t="str">
        <x:v>01  Unit and boundary</x:v>
      </x:c>
      <x:c r="B111" s="40"/>
      <x:c r="C111" s="40"/>
      <x:c r="D111" s="17" t="str">
        <x:v>Define the case and time basis.</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Active work</x:v>
      </x:c>
      <x:c r="B117" s="40"/>
      <x:c r="C117" s="40"/>
      <x:c r="D117" s="17" t="str">
        <x:v>Record touch minutes by activity.</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Value classification</x:v>
      </x:c>
      <x:c r="B123" s="40"/>
      <x:c r="C123" s="40"/>
      <x:c r="D123" s="17" t="str">
        <x:v>Explain categories and controls.</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Elapsed delay</x:v>
      </x:c>
      <x:c r="B129" s="40"/>
      <x:c r="C129" s="40"/>
      <x:c r="D129" s="17" t="str">
        <x:v>Calculate without confusing units.</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Ratios</x:v>
      </x:c>
      <x:c r="B135" s="40"/>
      <x:c r="C135" s="40"/>
      <x:c r="D135" s="17" t="str">
        <x:v>State the denominator and interpretation.</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Test and follow-up</x:v>
      </x:c>
      <x:c r="B141" s="40"/>
      <x:c r="C141" s="40"/>
      <x:c r="D141" s="17" t="str">
        <x:v>Target a cause and balancing measure.</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Elapsed waiting hours are not labour hours. A low value-added share does not mean the same share of staff cost can be removed. Classification should be challenged with users and assurance owners, not treated as an objective score.</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M07, M09, S11  |  METHOD SOURCES: U02, U03, R17</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s>
  <x:dataValidations count="1">
    <x:dataValidation type="list" sqref="C10:C29">
      <x:formula1>"Value adding,Necessary enabling,Avoidable,Unclassified"</x:formula1>
    </x:dataValidation>
  </x:dataValidations>
  <x:pageMargins left="0.7" right="0.7" top="0.75" bottom="0.75" header="0.3" footer="0.3"/>
  <x:drawing xmlns:r="http://schemas.openxmlformats.org/officeDocument/2006/relationships" r:id="R03c858f454124d75"/>
</x:worksheet>
</file>

<file path=xl/worksheets/sheet61.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20" hidden="0" customWidth="1"/>
    <x:col min="2" max="2" width="15" hidden="0" customWidth="1"/>
    <x:col min="3" max="3" width="17" hidden="0" customWidth="1"/>
    <x:col min="4" max="4" width="21" hidden="0" customWidth="1"/>
    <x:col min="5" max="5" width="22" hidden="0" customWidth="1"/>
    <x:col min="6" max="6" width="25" hidden="0" customWidth="1"/>
    <x:col min="7" max="7" width="23" hidden="0" customWidth="1"/>
    <x:col min="8" max="8" width="20" hidden="0" customWidth="1"/>
    <x:col min="9" max="9" width="38"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M07  Demand, capacity and workload analysis</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Compare incoming work with realistically available processing capacity.</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Period / date</x:v>
      </x:c>
      <x:c r="B9" s="77" t="str">
        <x:v>Arrivals</x:v>
      </x:c>
      <x:c r="C9" s="77" t="str">
        <x:v>Completions</x:v>
      </x:c>
      <x:c r="D9" s="77" t="str">
        <x:v>Net available min</x:v>
      </x:c>
      <x:c r="E9" s="77" t="str">
        <x:v>Touch min / unit</x:v>
      </x:c>
      <x:c r="F9" s="77" t="str">
        <x:v>Theoretical capacity</x:v>
      </x:c>
      <x:c r="G9" s="77" t="str">
        <x:v>Arrival utilisation</x:v>
      </x:c>
      <x:c r="H9" s="77" t="str">
        <x:v>Backlog change</x:v>
      </x:c>
      <x:c r="I9" s="77" t="str">
        <x:v>Check</x:v>
      </x:c>
      <x:c r="J9" s="3"/>
      <x:c r="K9" s="3"/>
      <x:c r="L9" s="3"/>
      <x:c r="M9" s="3"/>
      <x:c r="N9" s="3"/>
      <x:c r="O9" s="3"/>
      <x:c r="P9" s="3"/>
      <x:c r="Q9" s="3"/>
      <x:c r="R9" s="3"/>
    </x:row>
    <x:row r="10" ht="34" customHeight="1">
      <x:c r="A10" s="88"/>
      <x:c r="B10" s="46"/>
      <x:c r="C10" s="46"/>
      <x:c r="D10" s="46"/>
      <x:c r="E10" s="46"/>
      <x:c r="F10" s="86" t="str">
        <x:f>IF(I10="Planning estimate - review variation",D10/E10,"")</x:f>
      </x:c>
      <x:c r="G10" s="90" t="str">
        <x:f>IF(AND(ISNUMBER(F10),F10&gt;0),B10/F10,"")</x:f>
      </x:c>
      <x:c r="H10" s="83" t="str">
        <x:f>IF(I10="Planning estimate - review variation",B10-C10,"")</x:f>
      </x:c>
      <x:c r="I10" s="83" t="str">
        <x:f>IF(A10="","",IF(COUNT(B10:E10)&lt;4,"Complete four numeric inputs",IF(OR(MIN(B10:D10)&lt;0,E10&lt;=0,MOD(B10,1)&lt;&gt;0,MOD(C10,1)&lt;&gt;0),"Invalid inputs","Planning estimate - review variation")))</x:f>
      </x:c>
      <x:c r="J10" s="3"/>
      <x:c r="K10" s="3"/>
      <x:c r="L10" s="3"/>
      <x:c r="M10" s="3"/>
      <x:c r="N10" s="3"/>
      <x:c r="O10" s="3"/>
      <x:c r="P10" s="3"/>
      <x:c r="Q10" s="3"/>
      <x:c r="R10" s="3"/>
    </x:row>
    <x:row r="11" ht="34" customHeight="1">
      <x:c r="A11" s="88"/>
      <x:c r="B11" s="46"/>
      <x:c r="C11" s="46"/>
      <x:c r="D11" s="46"/>
      <x:c r="E11" s="46"/>
      <x:c r="F11" s="86" t="str">
        <x:f>IF(I11="Planning estimate - review variation",D11/E11,"")</x:f>
      </x:c>
      <x:c r="G11" s="90" t="str">
        <x:f>IF(AND(ISNUMBER(F11),F11&gt;0),B11/F11,"")</x:f>
      </x:c>
      <x:c r="H11" s="83" t="str">
        <x:f>IF(I11="Planning estimate - review variation",B11-C11,"")</x:f>
      </x:c>
      <x:c r="I11" s="83" t="str">
        <x:f>IF(A11="","",IF(COUNT(B11:E11)&lt;4,"Complete four numeric inputs",IF(OR(MIN(B11:D11)&lt;0,E11&lt;=0,MOD(B11,1)&lt;&gt;0,MOD(C11,1)&lt;&gt;0),"Invalid inputs","Planning estimate - review variation")))</x:f>
      </x:c>
      <x:c r="J11" s="3"/>
      <x:c r="K11" s="3"/>
      <x:c r="L11" s="3"/>
      <x:c r="M11" s="3"/>
      <x:c r="N11" s="3"/>
      <x:c r="O11" s="3"/>
      <x:c r="P11" s="3"/>
      <x:c r="Q11" s="3"/>
      <x:c r="R11" s="3"/>
    </x:row>
    <x:row r="12" ht="34" customHeight="1">
      <x:c r="A12" s="88"/>
      <x:c r="B12" s="46"/>
      <x:c r="C12" s="46"/>
      <x:c r="D12" s="46"/>
      <x:c r="E12" s="46"/>
      <x:c r="F12" s="86" t="str">
        <x:f>IF(I12="Planning estimate - review variation",D12/E12,"")</x:f>
      </x:c>
      <x:c r="G12" s="90" t="str">
        <x:f>IF(AND(ISNUMBER(F12),F12&gt;0),B12/F12,"")</x:f>
      </x:c>
      <x:c r="H12" s="83" t="str">
        <x:f>IF(I12="Planning estimate - review variation",B12-C12,"")</x:f>
      </x:c>
      <x:c r="I12" s="83" t="str">
        <x:f>IF(A12="","",IF(COUNT(B12:E12)&lt;4,"Complete four numeric inputs",IF(OR(MIN(B12:D12)&lt;0,E12&lt;=0,MOD(B12,1)&lt;&gt;0,MOD(C12,1)&lt;&gt;0),"Invalid inputs","Planning estimate - review variation")))</x:f>
      </x:c>
      <x:c r="J12" s="3"/>
      <x:c r="K12" s="3"/>
      <x:c r="L12" s="3"/>
      <x:c r="M12" s="3"/>
      <x:c r="N12" s="3"/>
      <x:c r="O12" s="3"/>
      <x:c r="P12" s="3"/>
      <x:c r="Q12" s="3"/>
      <x:c r="R12" s="3"/>
    </x:row>
    <x:row r="13" ht="34" customHeight="1">
      <x:c r="A13" s="88"/>
      <x:c r="B13" s="46"/>
      <x:c r="C13" s="46"/>
      <x:c r="D13" s="46"/>
      <x:c r="E13" s="46"/>
      <x:c r="F13" s="86" t="str">
        <x:f>IF(I13="Planning estimate - review variation",D13/E13,"")</x:f>
      </x:c>
      <x:c r="G13" s="90" t="str">
        <x:f>IF(AND(ISNUMBER(F13),F13&gt;0),B13/F13,"")</x:f>
      </x:c>
      <x:c r="H13" s="83" t="str">
        <x:f>IF(I13="Planning estimate - review variation",B13-C13,"")</x:f>
      </x:c>
      <x:c r="I13" s="83" t="str">
        <x:f>IF(A13="","",IF(COUNT(B13:E13)&lt;4,"Complete four numeric inputs",IF(OR(MIN(B13:D13)&lt;0,E13&lt;=0,MOD(B13,1)&lt;&gt;0,MOD(C13,1)&lt;&gt;0),"Invalid inputs","Planning estimate - review variation")))</x:f>
      </x:c>
      <x:c r="J13" s="3"/>
      <x:c r="K13" s="3"/>
      <x:c r="L13" s="3"/>
      <x:c r="M13" s="3"/>
      <x:c r="N13" s="3"/>
      <x:c r="O13" s="3"/>
      <x:c r="P13" s="3"/>
      <x:c r="Q13" s="3"/>
      <x:c r="R13" s="3"/>
    </x:row>
    <x:row r="14" ht="34" customHeight="1">
      <x:c r="A14" s="88"/>
      <x:c r="B14" s="46"/>
      <x:c r="C14" s="46"/>
      <x:c r="D14" s="46"/>
      <x:c r="E14" s="46"/>
      <x:c r="F14" s="86" t="str">
        <x:f>IF(I14="Planning estimate - review variation",D14/E14,"")</x:f>
      </x:c>
      <x:c r="G14" s="90" t="str">
        <x:f>IF(AND(ISNUMBER(F14),F14&gt;0),B14/F14,"")</x:f>
      </x:c>
      <x:c r="H14" s="83" t="str">
        <x:f>IF(I14="Planning estimate - review variation",B14-C14,"")</x:f>
      </x:c>
      <x:c r="I14" s="83" t="str">
        <x:f>IF(A14="","",IF(COUNT(B14:E14)&lt;4,"Complete four numeric inputs",IF(OR(MIN(B14:D14)&lt;0,E14&lt;=0,MOD(B14,1)&lt;&gt;0,MOD(C14,1)&lt;&gt;0),"Invalid inputs","Planning estimate - review variation")))</x:f>
      </x:c>
      <x:c r="J14" s="3"/>
      <x:c r="K14" s="3"/>
      <x:c r="L14" s="3"/>
      <x:c r="M14" s="3"/>
      <x:c r="N14" s="3"/>
      <x:c r="O14" s="3"/>
      <x:c r="P14" s="3"/>
      <x:c r="Q14" s="3"/>
      <x:c r="R14" s="3"/>
    </x:row>
    <x:row r="15" ht="34" customHeight="1">
      <x:c r="A15" s="88"/>
      <x:c r="B15" s="46"/>
      <x:c r="C15" s="46"/>
      <x:c r="D15" s="46"/>
      <x:c r="E15" s="46"/>
      <x:c r="F15" s="86" t="str">
        <x:f>IF(I15="Planning estimate - review variation",D15/E15,"")</x:f>
      </x:c>
      <x:c r="G15" s="90" t="str">
        <x:f>IF(AND(ISNUMBER(F15),F15&gt;0),B15/F15,"")</x:f>
      </x:c>
      <x:c r="H15" s="83" t="str">
        <x:f>IF(I15="Planning estimate - review variation",B15-C15,"")</x:f>
      </x:c>
      <x:c r="I15" s="83" t="str">
        <x:f>IF(A15="","",IF(COUNT(B15:E15)&lt;4,"Complete four numeric inputs",IF(OR(MIN(B15:D15)&lt;0,E15&lt;=0,MOD(B15,1)&lt;&gt;0,MOD(C15,1)&lt;&gt;0),"Invalid inputs","Planning estimate - review variation")))</x:f>
      </x:c>
      <x:c r="J15" s="3"/>
      <x:c r="K15" s="3"/>
      <x:c r="L15" s="3"/>
      <x:c r="M15" s="3"/>
      <x:c r="N15" s="3"/>
      <x:c r="O15" s="3"/>
      <x:c r="P15" s="3"/>
      <x:c r="Q15" s="3"/>
      <x:c r="R15" s="3"/>
    </x:row>
    <x:row r="16" ht="34" customHeight="1">
      <x:c r="A16" s="88"/>
      <x:c r="B16" s="46"/>
      <x:c r="C16" s="46"/>
      <x:c r="D16" s="46"/>
      <x:c r="E16" s="46"/>
      <x:c r="F16" s="86" t="str">
        <x:f>IF(I16="Planning estimate - review variation",D16/E16,"")</x:f>
      </x:c>
      <x:c r="G16" s="90" t="str">
        <x:f>IF(AND(ISNUMBER(F16),F16&gt;0),B16/F16,"")</x:f>
      </x:c>
      <x:c r="H16" s="83" t="str">
        <x:f>IF(I16="Planning estimate - review variation",B16-C16,"")</x:f>
      </x:c>
      <x:c r="I16" s="83" t="str">
        <x:f>IF(A16="","",IF(COUNT(B16:E16)&lt;4,"Complete four numeric inputs",IF(OR(MIN(B16:D16)&lt;0,E16&lt;=0,MOD(B16,1)&lt;&gt;0,MOD(C16,1)&lt;&gt;0),"Invalid inputs","Planning estimate - review variation")))</x:f>
      </x:c>
      <x:c r="J16" s="3"/>
      <x:c r="K16" s="3"/>
      <x:c r="L16" s="3"/>
      <x:c r="M16" s="3"/>
      <x:c r="N16" s="3"/>
      <x:c r="O16" s="3"/>
      <x:c r="P16" s="3"/>
      <x:c r="Q16" s="3"/>
      <x:c r="R16" s="3"/>
    </x:row>
    <x:row r="17" ht="34" customHeight="1">
      <x:c r="A17" s="88"/>
      <x:c r="B17" s="46"/>
      <x:c r="C17" s="46"/>
      <x:c r="D17" s="46"/>
      <x:c r="E17" s="46"/>
      <x:c r="F17" s="86" t="str">
        <x:f>IF(I17="Planning estimate - review variation",D17/E17,"")</x:f>
      </x:c>
      <x:c r="G17" s="90" t="str">
        <x:f>IF(AND(ISNUMBER(F17),F17&gt;0),B17/F17,"")</x:f>
      </x:c>
      <x:c r="H17" s="83" t="str">
        <x:f>IF(I17="Planning estimate - review variation",B17-C17,"")</x:f>
      </x:c>
      <x:c r="I17" s="83" t="str">
        <x:f>IF(A17="","",IF(COUNT(B17:E17)&lt;4,"Complete four numeric inputs",IF(OR(MIN(B17:D17)&lt;0,E17&lt;=0,MOD(B17,1)&lt;&gt;0,MOD(C17,1)&lt;&gt;0),"Invalid inputs","Planning estimate - review variation")))</x:f>
      </x:c>
      <x:c r="J17" s="3"/>
      <x:c r="K17" s="3"/>
      <x:c r="L17" s="3"/>
      <x:c r="M17" s="3"/>
      <x:c r="N17" s="3"/>
      <x:c r="O17" s="3"/>
      <x:c r="P17" s="3"/>
      <x:c r="Q17" s="3"/>
      <x:c r="R17" s="3"/>
    </x:row>
    <x:row r="18" ht="34" customHeight="1">
      <x:c r="A18" s="88"/>
      <x:c r="B18" s="46"/>
      <x:c r="C18" s="46"/>
      <x:c r="D18" s="46"/>
      <x:c r="E18" s="46"/>
      <x:c r="F18" s="86" t="str">
        <x:f>IF(I18="Planning estimate - review variation",D18/E18,"")</x:f>
      </x:c>
      <x:c r="G18" s="90" t="str">
        <x:f>IF(AND(ISNUMBER(F18),F18&gt;0),B18/F18,"")</x:f>
      </x:c>
      <x:c r="H18" s="83" t="str">
        <x:f>IF(I18="Planning estimate - review variation",B18-C18,"")</x:f>
      </x:c>
      <x:c r="I18" s="83" t="str">
        <x:f>IF(A18="","",IF(COUNT(B18:E18)&lt;4,"Complete four numeric inputs",IF(OR(MIN(B18:D18)&lt;0,E18&lt;=0,MOD(B18,1)&lt;&gt;0,MOD(C18,1)&lt;&gt;0),"Invalid inputs","Planning estimate - review variation")))</x:f>
      </x:c>
      <x:c r="J18" s="3"/>
      <x:c r="K18" s="3"/>
      <x:c r="L18" s="3"/>
      <x:c r="M18" s="3"/>
      <x:c r="N18" s="3"/>
      <x:c r="O18" s="3"/>
      <x:c r="P18" s="3"/>
      <x:c r="Q18" s="3"/>
      <x:c r="R18" s="3"/>
    </x:row>
    <x:row r="19" ht="34" customHeight="1">
      <x:c r="A19" s="88"/>
      <x:c r="B19" s="46"/>
      <x:c r="C19" s="46"/>
      <x:c r="D19" s="46"/>
      <x:c r="E19" s="46"/>
      <x:c r="F19" s="86" t="str">
        <x:f>IF(I19="Planning estimate - review variation",D19/E19,"")</x:f>
      </x:c>
      <x:c r="G19" s="90" t="str">
        <x:f>IF(AND(ISNUMBER(F19),F19&gt;0),B19/F19,"")</x:f>
      </x:c>
      <x:c r="H19" s="83" t="str">
        <x:f>IF(I19="Planning estimate - review variation",B19-C19,"")</x:f>
      </x:c>
      <x:c r="I19" s="83" t="str">
        <x:f>IF(A19="","",IF(COUNT(B19:E19)&lt;4,"Complete four numeric inputs",IF(OR(MIN(B19:D19)&lt;0,E19&lt;=0,MOD(B19,1)&lt;&gt;0,MOD(C19,1)&lt;&gt;0),"Invalid inputs","Planning estimate - review variation")))</x:f>
      </x:c>
      <x:c r="J19" s="3"/>
      <x:c r="K19" s="3"/>
      <x:c r="L19" s="3"/>
      <x:c r="M19" s="3"/>
      <x:c r="N19" s="3"/>
      <x:c r="O19" s="3"/>
      <x:c r="P19" s="3"/>
      <x:c r="Q19" s="3"/>
      <x:c r="R19" s="3"/>
    </x:row>
    <x:row r="20" ht="34" customHeight="1">
      <x:c r="A20" s="88"/>
      <x:c r="B20" s="46"/>
      <x:c r="C20" s="46"/>
      <x:c r="D20" s="46"/>
      <x:c r="E20" s="46"/>
      <x:c r="F20" s="86" t="str">
        <x:f>IF(I20="Planning estimate - review variation",D20/E20,"")</x:f>
      </x:c>
      <x:c r="G20" s="90" t="str">
        <x:f>IF(AND(ISNUMBER(F20),F20&gt;0),B20/F20,"")</x:f>
      </x:c>
      <x:c r="H20" s="83" t="str">
        <x:f>IF(I20="Planning estimate - review variation",B20-C20,"")</x:f>
      </x:c>
      <x:c r="I20" s="83" t="str">
        <x:f>IF(A20="","",IF(COUNT(B20:E20)&lt;4,"Complete four numeric inputs",IF(OR(MIN(B20:D20)&lt;0,E20&lt;=0,MOD(B20,1)&lt;&gt;0,MOD(C20,1)&lt;&gt;0),"Invalid inputs","Planning estimate - review variation")))</x:f>
      </x:c>
      <x:c r="J20" s="3"/>
      <x:c r="K20" s="3"/>
      <x:c r="L20" s="3"/>
      <x:c r="M20" s="3"/>
      <x:c r="N20" s="3"/>
      <x:c r="O20" s="3"/>
      <x:c r="P20" s="3"/>
      <x:c r="Q20" s="3"/>
      <x:c r="R20" s="3"/>
    </x:row>
    <x:row r="21" ht="34" customHeight="1">
      <x:c r="A21" s="88"/>
      <x:c r="B21" s="46"/>
      <x:c r="C21" s="46"/>
      <x:c r="D21" s="46"/>
      <x:c r="E21" s="46"/>
      <x:c r="F21" s="86" t="str">
        <x:f>IF(I21="Planning estimate - review variation",D21/E21,"")</x:f>
      </x:c>
      <x:c r="G21" s="90" t="str">
        <x:f>IF(AND(ISNUMBER(F21),F21&gt;0),B21/F21,"")</x:f>
      </x:c>
      <x:c r="H21" s="83" t="str">
        <x:f>IF(I21="Planning estimate - review variation",B21-C21,"")</x:f>
      </x:c>
      <x:c r="I21" s="83" t="str">
        <x:f>IF(A21="","",IF(COUNT(B21:E21)&lt;4,"Complete four numeric inputs",IF(OR(MIN(B21:D21)&lt;0,E21&lt;=0,MOD(B21,1)&lt;&gt;0,MOD(C21,1)&lt;&gt;0),"Invalid inputs","Planning estimate - review variation")))</x:f>
      </x:c>
      <x:c r="J21" s="3"/>
      <x:c r="K21" s="3"/>
      <x:c r="L21" s="3"/>
      <x:c r="M21" s="3"/>
      <x:c r="N21" s="3"/>
      <x:c r="O21" s="3"/>
      <x:c r="P21" s="3"/>
      <x:c r="Q21" s="3"/>
      <x:c r="R21" s="3"/>
    </x:row>
    <x:row r="22" ht="34" customHeight="1">
      <x:c r="A22" s="88"/>
      <x:c r="B22" s="46"/>
      <x:c r="C22" s="46"/>
      <x:c r="D22" s="46"/>
      <x:c r="E22" s="46"/>
      <x:c r="F22" s="86" t="str">
        <x:f>IF(I22="Planning estimate - review variation",D22/E22,"")</x:f>
      </x:c>
      <x:c r="G22" s="90" t="str">
        <x:f>IF(AND(ISNUMBER(F22),F22&gt;0),B22/F22,"")</x:f>
      </x:c>
      <x:c r="H22" s="83" t="str">
        <x:f>IF(I22="Planning estimate - review variation",B22-C22,"")</x:f>
      </x:c>
      <x:c r="I22" s="83" t="str">
        <x:f>IF(A22="","",IF(COUNT(B22:E22)&lt;4,"Complete four numeric inputs",IF(OR(MIN(B22:D22)&lt;0,E22&lt;=0,MOD(B22,1)&lt;&gt;0,MOD(C22,1)&lt;&gt;0),"Invalid inputs","Planning estimate - review variation")))</x:f>
      </x:c>
      <x:c r="J22" s="3"/>
      <x:c r="K22" s="3"/>
      <x:c r="L22" s="3"/>
      <x:c r="M22" s="3"/>
      <x:c r="N22" s="3"/>
      <x:c r="O22" s="3"/>
      <x:c r="P22" s="3"/>
      <x:c r="Q22" s="3"/>
      <x:c r="R22" s="3"/>
    </x:row>
    <x:row r="23" ht="34" customHeight="1">
      <x:c r="A23" s="88"/>
      <x:c r="B23" s="46"/>
      <x:c r="C23" s="46"/>
      <x:c r="D23" s="46"/>
      <x:c r="E23" s="46"/>
      <x:c r="F23" s="86" t="str">
        <x:f>IF(I23="Planning estimate - review variation",D23/E23,"")</x:f>
      </x:c>
      <x:c r="G23" s="90" t="str">
        <x:f>IF(AND(ISNUMBER(F23),F23&gt;0),B23/F23,"")</x:f>
      </x:c>
      <x:c r="H23" s="83" t="str">
        <x:f>IF(I23="Planning estimate - review variation",B23-C23,"")</x:f>
      </x:c>
      <x:c r="I23" s="83" t="str">
        <x:f>IF(A23="","",IF(COUNT(B23:E23)&lt;4,"Complete four numeric inputs",IF(OR(MIN(B23:D23)&lt;0,E23&lt;=0,MOD(B23,1)&lt;&gt;0,MOD(C23,1)&lt;&gt;0),"Invalid inputs","Planning estimate - review variation")))</x:f>
      </x:c>
      <x:c r="J23" s="3"/>
      <x:c r="K23" s="3"/>
      <x:c r="L23" s="3"/>
      <x:c r="M23" s="3"/>
      <x:c r="N23" s="3"/>
      <x:c r="O23" s="3"/>
      <x:c r="P23" s="3"/>
      <x:c r="Q23" s="3"/>
      <x:c r="R23" s="3"/>
    </x:row>
    <x:row r="24" ht="34" customHeight="1">
      <x:c r="A24" s="88"/>
      <x:c r="B24" s="46"/>
      <x:c r="C24" s="46"/>
      <x:c r="D24" s="46"/>
      <x:c r="E24" s="46"/>
      <x:c r="F24" s="86" t="str">
        <x:f>IF(I24="Planning estimate - review variation",D24/E24,"")</x:f>
      </x:c>
      <x:c r="G24" s="90" t="str">
        <x:f>IF(AND(ISNUMBER(F24),F24&gt;0),B24/F24,"")</x:f>
      </x:c>
      <x:c r="H24" s="83" t="str">
        <x:f>IF(I24="Planning estimate - review variation",B24-C24,"")</x:f>
      </x:c>
      <x:c r="I24" s="83" t="str">
        <x:f>IF(A24="","",IF(COUNT(B24:E24)&lt;4,"Complete four numeric inputs",IF(OR(MIN(B24:D24)&lt;0,E24&lt;=0,MOD(B24,1)&lt;&gt;0,MOD(C24,1)&lt;&gt;0),"Invalid inputs","Planning estimate - review variation")))</x:f>
      </x:c>
      <x:c r="J24" s="3"/>
      <x:c r="K24" s="3"/>
      <x:c r="L24" s="3"/>
      <x:c r="M24" s="3"/>
      <x:c r="N24" s="3"/>
      <x:c r="O24" s="3"/>
      <x:c r="P24" s="3"/>
      <x:c r="Q24" s="3"/>
      <x:c r="R24" s="3"/>
    </x:row>
    <x:row r="25" ht="34" customHeight="1">
      <x:c r="A25" s="88"/>
      <x:c r="B25" s="46"/>
      <x:c r="C25" s="46"/>
      <x:c r="D25" s="46"/>
      <x:c r="E25" s="46"/>
      <x:c r="F25" s="86" t="str">
        <x:f>IF(I25="Planning estimate - review variation",D25/E25,"")</x:f>
      </x:c>
      <x:c r="G25" s="90" t="str">
        <x:f>IF(AND(ISNUMBER(F25),F25&gt;0),B25/F25,"")</x:f>
      </x:c>
      <x:c r="H25" s="83" t="str">
        <x:f>IF(I25="Planning estimate - review variation",B25-C25,"")</x:f>
      </x:c>
      <x:c r="I25" s="83" t="str">
        <x:f>IF(A25="","",IF(COUNT(B25:E25)&lt;4,"Complete four numeric inputs",IF(OR(MIN(B25:D25)&lt;0,E25&lt;=0,MOD(B25,1)&lt;&gt;0,MOD(C25,1)&lt;&gt;0),"Invalid inputs","Planning estimate - review variation")))</x:f>
      </x:c>
      <x:c r="J25" s="3"/>
      <x:c r="K25" s="3"/>
      <x:c r="L25" s="3"/>
      <x:c r="M25" s="3"/>
      <x:c r="N25" s="3"/>
      <x:c r="O25" s="3"/>
      <x:c r="P25" s="3"/>
      <x:c r="Q25" s="3"/>
      <x:c r="R25" s="3"/>
    </x:row>
    <x:row r="26" ht="34" customHeight="1">
      <x:c r="A26" s="88"/>
      <x:c r="B26" s="46"/>
      <x:c r="C26" s="46"/>
      <x:c r="D26" s="46"/>
      <x:c r="E26" s="46"/>
      <x:c r="F26" s="86" t="str">
        <x:f>IF(I26="Planning estimate - review variation",D26/E26,"")</x:f>
      </x:c>
      <x:c r="G26" s="90" t="str">
        <x:f>IF(AND(ISNUMBER(F26),F26&gt;0),B26/F26,"")</x:f>
      </x:c>
      <x:c r="H26" s="83" t="str">
        <x:f>IF(I26="Planning estimate - review variation",B26-C26,"")</x:f>
      </x:c>
      <x:c r="I26" s="83" t="str">
        <x:f>IF(A26="","",IF(COUNT(B26:E26)&lt;4,"Complete four numeric inputs",IF(OR(MIN(B26:D26)&lt;0,E26&lt;=0,MOD(B26,1)&lt;&gt;0,MOD(C26,1)&lt;&gt;0),"Invalid inputs","Planning estimate - review variation")))</x:f>
      </x:c>
      <x:c r="J26" s="3"/>
      <x:c r="K26" s="3"/>
      <x:c r="L26" s="3"/>
      <x:c r="M26" s="3"/>
      <x:c r="N26" s="3"/>
      <x:c r="O26" s="3"/>
      <x:c r="P26" s="3"/>
      <x:c r="Q26" s="3"/>
      <x:c r="R26" s="3"/>
    </x:row>
    <x:row r="27" ht="34" customHeight="1">
      <x:c r="A27" s="88"/>
      <x:c r="B27" s="46"/>
      <x:c r="C27" s="46"/>
      <x:c r="D27" s="46"/>
      <x:c r="E27" s="46"/>
      <x:c r="F27" s="86" t="str">
        <x:f>IF(I27="Planning estimate - review variation",D27/E27,"")</x:f>
      </x:c>
      <x:c r="G27" s="90" t="str">
        <x:f>IF(AND(ISNUMBER(F27),F27&gt;0),B27/F27,"")</x:f>
      </x:c>
      <x:c r="H27" s="83" t="str">
        <x:f>IF(I27="Planning estimate - review variation",B27-C27,"")</x:f>
      </x:c>
      <x:c r="I27" s="83" t="str">
        <x:f>IF(A27="","",IF(COUNT(B27:E27)&lt;4,"Complete four numeric inputs",IF(OR(MIN(B27:D27)&lt;0,E27&lt;=0,MOD(B27,1)&lt;&gt;0,MOD(C27,1)&lt;&gt;0),"Invalid inputs","Planning estimate - review variation")))</x:f>
      </x:c>
      <x:c r="J27" s="3"/>
      <x:c r="K27" s="3"/>
      <x:c r="L27" s="3"/>
      <x:c r="M27" s="3"/>
      <x:c r="N27" s="3"/>
      <x:c r="O27" s="3"/>
      <x:c r="P27" s="3"/>
      <x:c r="Q27" s="3"/>
      <x:c r="R27" s="3"/>
    </x:row>
    <x:row r="28" ht="34" customHeight="1">
      <x:c r="A28" s="88"/>
      <x:c r="B28" s="46"/>
      <x:c r="C28" s="46"/>
      <x:c r="D28" s="46"/>
      <x:c r="E28" s="46"/>
      <x:c r="F28" s="86" t="str">
        <x:f>IF(I28="Planning estimate - review variation",D28/E28,"")</x:f>
      </x:c>
      <x:c r="G28" s="90" t="str">
        <x:f>IF(AND(ISNUMBER(F28),F28&gt;0),B28/F28,"")</x:f>
      </x:c>
      <x:c r="H28" s="83" t="str">
        <x:f>IF(I28="Planning estimate - review variation",B28-C28,"")</x:f>
      </x:c>
      <x:c r="I28" s="83" t="str">
        <x:f>IF(A28="","",IF(COUNT(B28:E28)&lt;4,"Complete four numeric inputs",IF(OR(MIN(B28:D28)&lt;0,E28&lt;=0,MOD(B28,1)&lt;&gt;0,MOD(C28,1)&lt;&gt;0),"Invalid inputs","Planning estimate - review variation")))</x:f>
      </x:c>
      <x:c r="J28" s="3"/>
      <x:c r="K28" s="3"/>
      <x:c r="L28" s="3"/>
      <x:c r="M28" s="3"/>
      <x:c r="N28" s="3"/>
      <x:c r="O28" s="3"/>
      <x:c r="P28" s="3"/>
      <x:c r="Q28" s="3"/>
      <x:c r="R28" s="3"/>
    </x:row>
    <x:row r="29" ht="34" customHeight="1">
      <x:c r="A29" s="88"/>
      <x:c r="B29" s="46"/>
      <x:c r="C29" s="46"/>
      <x:c r="D29" s="46"/>
      <x:c r="E29" s="46"/>
      <x:c r="F29" s="86" t="str">
        <x:f>IF(I29="Planning estimate - review variation",D29/E29,"")</x:f>
      </x:c>
      <x:c r="G29" s="90" t="str">
        <x:f>IF(AND(ISNUMBER(F29),F29&gt;0),B29/F29,"")</x:f>
      </x:c>
      <x:c r="H29" s="83" t="str">
        <x:f>IF(I29="Planning estimate - review variation",B29-C29,"")</x:f>
      </x:c>
      <x:c r="I29" s="83" t="str">
        <x:f>IF(A29="","",IF(COUNT(B29:E29)&lt;4,"Complete four numeric inputs",IF(OR(MIN(B29:D29)&lt;0,E29&lt;=0,MOD(B29,1)&lt;&gt;0,MOD(C29,1)&lt;&gt;0),"Invalid inputs","Planning estimate - review variation")))</x:f>
      </x:c>
      <x:c r="J29" s="3"/>
      <x:c r="K29" s="3"/>
      <x:c r="L29" s="3"/>
      <x:c r="M29" s="3"/>
      <x:c r="N29" s="3"/>
      <x:c r="O29" s="3"/>
      <x:c r="P29" s="3"/>
      <x:c r="Q29" s="3"/>
      <x:c r="R29" s="3"/>
    </x:row>
    <x:row r="30" ht="34" customHeight="1">
      <x:c r="A30" s="88"/>
      <x:c r="B30" s="46"/>
      <x:c r="C30" s="46"/>
      <x:c r="D30" s="46"/>
      <x:c r="E30" s="46"/>
      <x:c r="F30" s="86" t="str">
        <x:f>IF(I30="Planning estimate - review variation",D30/E30,"")</x:f>
      </x:c>
      <x:c r="G30" s="90" t="str">
        <x:f>IF(AND(ISNUMBER(F30),F30&gt;0),B30/F30,"")</x:f>
      </x:c>
      <x:c r="H30" s="83" t="str">
        <x:f>IF(I30="Planning estimate - review variation",B30-C30,"")</x:f>
      </x:c>
      <x:c r="I30" s="83" t="str">
        <x:f>IF(A30="","",IF(COUNT(B30:E30)&lt;4,"Complete four numeric inputs",IF(OR(MIN(B30:D30)&lt;0,E30&lt;=0,MOD(B30,1)&lt;&gt;0,MOD(C30,1)&lt;&gt;0),"Invalid inputs","Planning estimate - review variation")))</x:f>
      </x:c>
      <x:c r="J30" s="3"/>
      <x:c r="K30" s="3"/>
      <x:c r="L30" s="3"/>
      <x:c r="M30" s="3"/>
      <x:c r="N30" s="3"/>
      <x:c r="O30" s="3"/>
      <x:c r="P30" s="3"/>
      <x:c r="Q30" s="3"/>
      <x:c r="R30" s="3"/>
    </x:row>
    <x:row r="31" ht="34" customHeight="1">
      <x:c r="A31" s="88"/>
      <x:c r="B31" s="46"/>
      <x:c r="C31" s="46"/>
      <x:c r="D31" s="46"/>
      <x:c r="E31" s="46"/>
      <x:c r="F31" s="86" t="str">
        <x:f>IF(I31="Planning estimate - review variation",D31/E31,"")</x:f>
      </x:c>
      <x:c r="G31" s="90" t="str">
        <x:f>IF(AND(ISNUMBER(F31),F31&gt;0),B31/F31,"")</x:f>
      </x:c>
      <x:c r="H31" s="83" t="str">
        <x:f>IF(I31="Planning estimate - review variation",B31-C31,"")</x:f>
      </x:c>
      <x:c r="I31" s="83" t="str">
        <x:f>IF(A31="","",IF(COUNT(B31:E31)&lt;4,"Complete four numeric inputs",IF(OR(MIN(B31:D31)&lt;0,E31&lt;=0,MOD(B31,1)&lt;&gt;0,MOD(C31,1)&lt;&gt;0),"Invalid inputs","Planning estimate - review variation")))</x:f>
      </x:c>
      <x:c r="J31" s="3"/>
      <x:c r="K31" s="3"/>
      <x:c r="L31" s="3"/>
      <x:c r="M31" s="3"/>
      <x:c r="N31" s="3"/>
      <x:c r="O31" s="3"/>
      <x:c r="P31" s="3"/>
      <x:c r="Q31" s="3"/>
      <x:c r="R31" s="3"/>
    </x:row>
    <x:row r="32" ht="34" customHeight="1">
      <x:c r="A32" s="88"/>
      <x:c r="B32" s="46"/>
      <x:c r="C32" s="46"/>
      <x:c r="D32" s="46"/>
      <x:c r="E32" s="46"/>
      <x:c r="F32" s="86" t="str">
        <x:f>IF(I32="Planning estimate - review variation",D32/E32,"")</x:f>
      </x:c>
      <x:c r="G32" s="90" t="str">
        <x:f>IF(AND(ISNUMBER(F32),F32&gt;0),B32/F32,"")</x:f>
      </x:c>
      <x:c r="H32" s="83" t="str">
        <x:f>IF(I32="Planning estimate - review variation",B32-C32,"")</x:f>
      </x:c>
      <x:c r="I32" s="83" t="str">
        <x:f>IF(A32="","",IF(COUNT(B32:E32)&lt;4,"Complete four numeric inputs",IF(OR(MIN(B32:D32)&lt;0,E32&lt;=0,MOD(B32,1)&lt;&gt;0,MOD(C32,1)&lt;&gt;0),"Invalid inputs","Planning estimate - review variation")))</x:f>
      </x:c>
      <x:c r="J32" s="3"/>
      <x:c r="K32" s="3"/>
      <x:c r="L32" s="3"/>
      <x:c r="M32" s="3"/>
      <x:c r="N32" s="3"/>
      <x:c r="O32" s="3"/>
      <x:c r="P32" s="3"/>
      <x:c r="Q32" s="3"/>
      <x:c r="R32" s="3"/>
    </x:row>
    <x:row r="33" ht="34" customHeight="1">
      <x:c r="A33" s="88"/>
      <x:c r="B33" s="46"/>
      <x:c r="C33" s="46"/>
      <x:c r="D33" s="46"/>
      <x:c r="E33" s="46"/>
      <x:c r="F33" s="86" t="str">
        <x:f>IF(I33="Planning estimate - review variation",D33/E33,"")</x:f>
      </x:c>
      <x:c r="G33" s="90" t="str">
        <x:f>IF(AND(ISNUMBER(F33),F33&gt;0),B33/F33,"")</x:f>
      </x:c>
      <x:c r="H33" s="83" t="str">
        <x:f>IF(I33="Planning estimate - review variation",B33-C33,"")</x:f>
      </x:c>
      <x:c r="I33" s="83" t="str">
        <x:f>IF(A33="","",IF(COUNT(B33:E33)&lt;4,"Complete four numeric inputs",IF(OR(MIN(B33:D33)&lt;0,E33&lt;=0,MOD(B33,1)&lt;&gt;0,MOD(C33,1)&lt;&gt;0),"Invalid inputs","Planning estimate - review variation")))</x:f>
      </x:c>
      <x:c r="J33" s="3"/>
      <x:c r="K33" s="3"/>
      <x:c r="L33" s="3"/>
      <x:c r="M33" s="3"/>
      <x:c r="N33" s="3"/>
      <x:c r="O33" s="3"/>
      <x:c r="P33" s="3"/>
      <x:c r="Q33" s="3"/>
      <x:c r="R33" s="3"/>
    </x:row>
    <x:row r="34" ht="34" customHeight="1">
      <x:c r="A34" s="88"/>
      <x:c r="B34" s="46"/>
      <x:c r="C34" s="46"/>
      <x:c r="D34" s="46"/>
      <x:c r="E34" s="46"/>
      <x:c r="F34" s="86" t="str">
        <x:f>IF(I34="Planning estimate - review variation",D34/E34,"")</x:f>
      </x:c>
      <x:c r="G34" s="90" t="str">
        <x:f>IF(AND(ISNUMBER(F34),F34&gt;0),B34/F34,"")</x:f>
      </x:c>
      <x:c r="H34" s="83" t="str">
        <x:f>IF(I34="Planning estimate - review variation",B34-C34,"")</x:f>
      </x:c>
      <x:c r="I34" s="83" t="str">
        <x:f>IF(A34="","",IF(COUNT(B34:E34)&lt;4,"Complete four numeric inputs",IF(OR(MIN(B34:D34)&lt;0,E34&lt;=0,MOD(B34,1)&lt;&gt;0,MOD(C34,1)&lt;&gt;0),"Invalid inputs","Planning estimate - review variation")))</x:f>
      </x:c>
      <x:c r="J34" s="3"/>
      <x:c r="K34" s="3"/>
      <x:c r="L34" s="3"/>
      <x:c r="M34" s="3"/>
      <x:c r="N34" s="3"/>
      <x:c r="O34" s="3"/>
      <x:c r="P34" s="3"/>
      <x:c r="Q34" s="3"/>
      <x:c r="R34" s="3"/>
    </x:row>
    <x:row r="35" ht="34" customHeight="1">
      <x:c r="A35" s="88"/>
      <x:c r="B35" s="46"/>
      <x:c r="C35" s="46"/>
      <x:c r="D35" s="46"/>
      <x:c r="E35" s="46"/>
      <x:c r="F35" s="86" t="str">
        <x:f>IF(I35="Planning estimate - review variation",D35/E35,"")</x:f>
      </x:c>
      <x:c r="G35" s="90" t="str">
        <x:f>IF(AND(ISNUMBER(F35),F35&gt;0),B35/F35,"")</x:f>
      </x:c>
      <x:c r="H35" s="83" t="str">
        <x:f>IF(I35="Planning estimate - review variation",B35-C35,"")</x:f>
      </x:c>
      <x:c r="I35" s="83" t="str">
        <x:f>IF(A35="","",IF(COUNT(B35:E35)&lt;4,"Complete four numeric inputs",IF(OR(MIN(B35:D35)&lt;0,E35&lt;=0,MOD(B35,1)&lt;&gt;0,MOD(C35,1)&lt;&gt;0),"Invalid inputs","Planning estimate - review variation")))</x:f>
      </x:c>
      <x:c r="J35" s="3"/>
      <x:c r="K35" s="3"/>
      <x:c r="L35" s="3"/>
      <x:c r="M35" s="3"/>
      <x:c r="N35" s="3"/>
      <x:c r="O35" s="3"/>
      <x:c r="P35" s="3"/>
      <x:c r="Q35" s="3"/>
      <x:c r="R35" s="3"/>
    </x:row>
    <x:row r="36" ht="34" customHeight="1">
      <x:c r="A36" s="88"/>
      <x:c r="B36" s="46"/>
      <x:c r="C36" s="46"/>
      <x:c r="D36" s="46"/>
      <x:c r="E36" s="46"/>
      <x:c r="F36" s="86" t="str">
        <x:f>IF(I36="Planning estimate - review variation",D36/E36,"")</x:f>
      </x:c>
      <x:c r="G36" s="90" t="str">
        <x:f>IF(AND(ISNUMBER(F36),F36&gt;0),B36/F36,"")</x:f>
      </x:c>
      <x:c r="H36" s="83" t="str">
        <x:f>IF(I36="Planning estimate - review variation",B36-C36,"")</x:f>
      </x:c>
      <x:c r="I36" s="83" t="str">
        <x:f>IF(A36="","",IF(COUNT(B36:E36)&lt;4,"Complete four numeric inputs",IF(OR(MIN(B36:D36)&lt;0,E36&lt;=0,MOD(B36,1)&lt;&gt;0,MOD(C36,1)&lt;&gt;0),"Invalid inputs","Planning estimate - review variation")))</x:f>
      </x:c>
      <x:c r="J36" s="3"/>
      <x:c r="K36" s="3"/>
      <x:c r="L36" s="3"/>
      <x:c r="M36" s="3"/>
      <x:c r="N36" s="3"/>
      <x:c r="O36" s="3"/>
      <x:c r="P36" s="3"/>
      <x:c r="Q36" s="3"/>
      <x:c r="R36" s="3"/>
    </x:row>
    <x:row r="37" ht="34" customHeight="1">
      <x:c r="A37" s="88"/>
      <x:c r="B37" s="46"/>
      <x:c r="C37" s="46"/>
      <x:c r="D37" s="46"/>
      <x:c r="E37" s="46"/>
      <x:c r="F37" s="86" t="str">
        <x:f>IF(I37="Planning estimate - review variation",D37/E37,"")</x:f>
      </x:c>
      <x:c r="G37" s="90" t="str">
        <x:f>IF(AND(ISNUMBER(F37),F37&gt;0),B37/F37,"")</x:f>
      </x:c>
      <x:c r="H37" s="83" t="str">
        <x:f>IF(I37="Planning estimate - review variation",B37-C37,"")</x:f>
      </x:c>
      <x:c r="I37" s="83" t="str">
        <x:f>IF(A37="","",IF(COUNT(B37:E37)&lt;4,"Complete four numeric inputs",IF(OR(MIN(B37:D37)&lt;0,E37&lt;=0,MOD(B37,1)&lt;&gt;0,MOD(C37,1)&lt;&gt;0),"Invalid inputs","Planning estimate - review variation")))</x:f>
      </x:c>
      <x:c r="J37" s="3"/>
      <x:c r="K37" s="3"/>
      <x:c r="L37" s="3"/>
      <x:c r="M37" s="3"/>
      <x:c r="N37" s="3"/>
      <x:c r="O37" s="3"/>
      <x:c r="P37" s="3"/>
      <x:c r="Q37" s="3"/>
      <x:c r="R37" s="3"/>
    </x:row>
    <x:row r="38" ht="34" customHeight="1">
      <x:c r="A38" s="88"/>
      <x:c r="B38" s="46"/>
      <x:c r="C38" s="46"/>
      <x:c r="D38" s="46"/>
      <x:c r="E38" s="46"/>
      <x:c r="F38" s="86" t="str">
        <x:f>IF(I38="Planning estimate - review variation",D38/E38,"")</x:f>
      </x:c>
      <x:c r="G38" s="90" t="str">
        <x:f>IF(AND(ISNUMBER(F38),F38&gt;0),B38/F38,"")</x:f>
      </x:c>
      <x:c r="H38" s="83" t="str">
        <x:f>IF(I38="Planning estimate - review variation",B38-C38,"")</x:f>
      </x:c>
      <x:c r="I38" s="83" t="str">
        <x:f>IF(A38="","",IF(COUNT(B38:E38)&lt;4,"Complete four numeric inputs",IF(OR(MIN(B38:D38)&lt;0,E38&lt;=0,MOD(B38,1)&lt;&gt;0,MOD(C38,1)&lt;&gt;0),"Invalid inputs","Planning estimate - review variation")))</x:f>
      </x:c>
      <x:c r="J38" s="3"/>
      <x:c r="K38" s="3"/>
      <x:c r="L38" s="3"/>
      <x:c r="M38" s="3"/>
      <x:c r="N38" s="3"/>
      <x:c r="O38" s="3"/>
      <x:c r="P38" s="3"/>
      <x:c r="Q38" s="3"/>
      <x:c r="R38" s="3"/>
    </x:row>
    <x:row r="39" ht="34" customHeight="1">
      <x:c r="A39" s="88"/>
      <x:c r="B39" s="46"/>
      <x:c r="C39" s="46"/>
      <x:c r="D39" s="46"/>
      <x:c r="E39" s="46"/>
      <x:c r="F39" s="86" t="str">
        <x:f>IF(I39="Planning estimate - review variation",D39/E39,"")</x:f>
      </x:c>
      <x:c r="G39" s="90" t="str">
        <x:f>IF(AND(ISNUMBER(F39),F39&gt;0),B39/F39,"")</x:f>
      </x:c>
      <x:c r="H39" s="83" t="str">
        <x:f>IF(I39="Planning estimate - review variation",B39-C39,"")</x:f>
      </x:c>
      <x:c r="I39" s="83" t="str">
        <x:f>IF(A39="","",IF(COUNT(B39:E39)&lt;4,"Complete four numeric inputs",IF(OR(MIN(B39:D39)&lt;0,E39&lt;=0,MOD(B39,1)&lt;&gt;0,MOD(C39,1)&lt;&gt;0),"Invalid inputs","Planning estimate - review variation")))</x:f>
      </x:c>
      <x:c r="J39" s="3"/>
      <x:c r="K39" s="3"/>
      <x:c r="L39" s="3"/>
      <x:c r="M39" s="3"/>
      <x:c r="N39" s="3"/>
      <x:c r="O39" s="3"/>
      <x:c r="P39" s="3"/>
      <x:c r="Q39" s="3"/>
      <x:c r="R39" s="3"/>
    </x:row>
    <x:row r="40" ht="34" customHeight="1">
      <x:c r="A40" s="88"/>
      <x:c r="B40" s="46"/>
      <x:c r="C40" s="46"/>
      <x:c r="D40" s="46"/>
      <x:c r="E40" s="46"/>
      <x:c r="F40" s="86" t="str">
        <x:f>IF(I40="Planning estimate - review variation",D40/E40,"")</x:f>
      </x:c>
      <x:c r="G40" s="90" t="str">
        <x:f>IF(AND(ISNUMBER(F40),F40&gt;0),B40/F40,"")</x:f>
      </x:c>
      <x:c r="H40" s="83" t="str">
        <x:f>IF(I40="Planning estimate - review variation",B40-C40,"")</x:f>
      </x:c>
      <x:c r="I40" s="83" t="str">
        <x:f>IF(A40="","",IF(COUNT(B40:E40)&lt;4,"Complete four numeric inputs",IF(OR(MIN(B40:D40)&lt;0,E40&lt;=0,MOD(B40,1)&lt;&gt;0,MOD(C40,1)&lt;&gt;0),"Invalid inputs","Planning estimate - review variation")))</x:f>
      </x:c>
      <x:c r="J40" s="3"/>
      <x:c r="K40" s="3"/>
      <x:c r="L40" s="3"/>
      <x:c r="M40" s="3"/>
      <x:c r="N40" s="3"/>
      <x:c r="O40" s="3"/>
      <x:c r="P40" s="3"/>
      <x:c r="Q40" s="3"/>
      <x:c r="R40" s="3"/>
    </x:row>
    <x:row r="41" ht="34" customHeight="1">
      <x:c r="A41" s="88"/>
      <x:c r="B41" s="46"/>
      <x:c r="C41" s="46"/>
      <x:c r="D41" s="46"/>
      <x:c r="E41" s="46"/>
      <x:c r="F41" s="86" t="str">
        <x:f>IF(I41="Planning estimate - review variation",D41/E41,"")</x:f>
      </x:c>
      <x:c r="G41" s="90" t="str">
        <x:f>IF(AND(ISNUMBER(F41),F41&gt;0),B41/F41,"")</x:f>
      </x:c>
      <x:c r="H41" s="83" t="str">
        <x:f>IF(I41="Planning estimate - review variation",B41-C41,"")</x:f>
      </x:c>
      <x:c r="I41" s="83" t="str">
        <x:f>IF(A41="","",IF(COUNT(B41:E41)&lt;4,"Complete four numeric inputs",IF(OR(MIN(B41:D41)&lt;0,E41&lt;=0,MOD(B41,1)&lt;&gt;0,MOD(C41,1)&lt;&gt;0),"Invalid inputs","Planning estimate - review variation")))</x:f>
      </x:c>
      <x:c r="J41" s="3"/>
      <x:c r="K41" s="3"/>
      <x:c r="L41" s="3"/>
      <x:c r="M41" s="3"/>
      <x:c r="N41" s="3"/>
      <x:c r="O41" s="3"/>
      <x:c r="P41" s="3"/>
      <x:c r="Q41" s="3"/>
      <x:c r="R41" s="3"/>
    </x:row>
    <x:row r="42" ht="34" customHeight="1">
      <x:c r="A42" s="88"/>
      <x:c r="B42" s="46"/>
      <x:c r="C42" s="46"/>
      <x:c r="D42" s="46"/>
      <x:c r="E42" s="46"/>
      <x:c r="F42" s="86" t="str">
        <x:f>IF(I42="Planning estimate - review variation",D42/E42,"")</x:f>
      </x:c>
      <x:c r="G42" s="90" t="str">
        <x:f>IF(AND(ISNUMBER(F42),F42&gt;0),B42/F42,"")</x:f>
      </x:c>
      <x:c r="H42" s="83" t="str">
        <x:f>IF(I42="Planning estimate - review variation",B42-C42,"")</x:f>
      </x:c>
      <x:c r="I42" s="83" t="str">
        <x:f>IF(A42="","",IF(COUNT(B42:E42)&lt;4,"Complete four numeric inputs",IF(OR(MIN(B42:D42)&lt;0,E42&lt;=0,MOD(B42,1)&lt;&gt;0,MOD(C42,1)&lt;&gt;0),"Invalid inputs","Planning estimate - review variation")))</x:f>
      </x:c>
      <x:c r="J42" s="3"/>
      <x:c r="K42" s="3"/>
      <x:c r="L42" s="3"/>
      <x:c r="M42" s="3"/>
      <x:c r="N42" s="3"/>
      <x:c r="O42" s="3"/>
      <x:c r="P42" s="3"/>
      <x:c r="Q42" s="3"/>
      <x:c r="R42" s="3"/>
    </x:row>
    <x:row r="43" ht="34" customHeight="1">
      <x:c r="A43" s="88"/>
      <x:c r="B43" s="46"/>
      <x:c r="C43" s="46"/>
      <x:c r="D43" s="46"/>
      <x:c r="E43" s="46"/>
      <x:c r="F43" s="86" t="str">
        <x:f>IF(I43="Planning estimate - review variation",D43/E43,"")</x:f>
      </x:c>
      <x:c r="G43" s="90" t="str">
        <x:f>IF(AND(ISNUMBER(F43),F43&gt;0),B43/F43,"")</x:f>
      </x:c>
      <x:c r="H43" s="83" t="str">
        <x:f>IF(I43="Planning estimate - review variation",B43-C43,"")</x:f>
      </x:c>
      <x:c r="I43" s="83" t="str">
        <x:f>IF(A43="","",IF(COUNT(B43:E43)&lt;4,"Complete four numeric inputs",IF(OR(MIN(B43:D43)&lt;0,E43&lt;=0,MOD(B43,1)&lt;&gt;0,MOD(C43,1)&lt;&gt;0),"Invalid inputs","Planning estimate - review variation")))</x:f>
      </x:c>
      <x:c r="J43" s="3"/>
      <x:c r="K43" s="3"/>
      <x:c r="L43" s="3"/>
      <x:c r="M43" s="3"/>
      <x:c r="N43" s="3"/>
      <x:c r="O43" s="3"/>
      <x:c r="P43" s="3"/>
      <x:c r="Q43" s="3"/>
      <x:c r="R43" s="3"/>
    </x:row>
    <x:row r="44" ht="34" customHeight="1">
      <x:c r="A44" s="88"/>
      <x:c r="B44" s="46"/>
      <x:c r="C44" s="46"/>
      <x:c r="D44" s="46"/>
      <x:c r="E44" s="46"/>
      <x:c r="F44" s="86" t="str">
        <x:f>IF(I44="Planning estimate - review variation",D44/E44,"")</x:f>
      </x:c>
      <x:c r="G44" s="90" t="str">
        <x:f>IF(AND(ISNUMBER(F44),F44&gt;0),B44/F44,"")</x:f>
      </x:c>
      <x:c r="H44" s="83" t="str">
        <x:f>IF(I44="Planning estimate - review variation",B44-C44,"")</x:f>
      </x:c>
      <x:c r="I44" s="83" t="str">
        <x:f>IF(A44="","",IF(COUNT(B44:E44)&lt;4,"Complete four numeric inputs",IF(OR(MIN(B44:D44)&lt;0,E44&lt;=0,MOD(B44,1)&lt;&gt;0,MOD(C44,1)&lt;&gt;0),"Invalid inputs","Planning estimate - review variation")))</x:f>
      </x:c>
      <x:c r="J44" s="3"/>
      <x:c r="K44" s="3"/>
      <x:c r="L44" s="3"/>
      <x:c r="M44" s="3"/>
      <x:c r="N44" s="3"/>
      <x:c r="O44" s="3"/>
      <x:c r="P44" s="3"/>
      <x:c r="Q44" s="3"/>
      <x:c r="R44" s="3"/>
    </x:row>
    <x:row r="45" ht="34" customHeight="1">
      <x:c r="A45" s="88"/>
      <x:c r="B45" s="46"/>
      <x:c r="C45" s="46"/>
      <x:c r="D45" s="46"/>
      <x:c r="E45" s="46"/>
      <x:c r="F45" s="86" t="str">
        <x:f>IF(I45="Planning estimate - review variation",D45/E45,"")</x:f>
      </x:c>
      <x:c r="G45" s="90" t="str">
        <x:f>IF(AND(ISNUMBER(F45),F45&gt;0),B45/F45,"")</x:f>
      </x:c>
      <x:c r="H45" s="83" t="str">
        <x:f>IF(I45="Planning estimate - review variation",B45-C45,"")</x:f>
      </x:c>
      <x:c r="I45" s="83" t="str">
        <x:f>IF(A45="","",IF(COUNT(B45:E45)&lt;4,"Complete four numeric inputs",IF(OR(MIN(B45:D45)&lt;0,E45&lt;=0,MOD(B45,1)&lt;&gt;0,MOD(C45,1)&lt;&gt;0),"Invalid inputs","Planning estimate - review variation")))</x:f>
      </x:c>
      <x:c r="J45" s="3"/>
      <x:c r="K45" s="3"/>
      <x:c r="L45" s="3"/>
      <x:c r="M45" s="3"/>
      <x:c r="N45" s="3"/>
      <x:c r="O45" s="3"/>
      <x:c r="P45" s="3"/>
      <x:c r="Q45" s="3"/>
      <x:c r="R45" s="3"/>
    </x:row>
    <x:row r="46" ht="34" customHeight="1">
      <x:c r="A46" s="88"/>
      <x:c r="B46" s="46"/>
      <x:c r="C46" s="46"/>
      <x:c r="D46" s="46"/>
      <x:c r="E46" s="46"/>
      <x:c r="F46" s="86" t="str">
        <x:f>IF(I46="Planning estimate - review variation",D46/E46,"")</x:f>
      </x:c>
      <x:c r="G46" s="90" t="str">
        <x:f>IF(AND(ISNUMBER(F46),F46&gt;0),B46/F46,"")</x:f>
      </x:c>
      <x:c r="H46" s="83" t="str">
        <x:f>IF(I46="Planning estimate - review variation",B46-C46,"")</x:f>
      </x:c>
      <x:c r="I46" s="83" t="str">
        <x:f>IF(A46="","",IF(COUNT(B46:E46)&lt;4,"Complete four numeric inputs",IF(OR(MIN(B46:D46)&lt;0,E46&lt;=0,MOD(B46,1)&lt;&gt;0,MOD(C46,1)&lt;&gt;0),"Invalid inputs","Planning estimate - review variation")))</x:f>
      </x:c>
      <x:c r="J46" s="3"/>
      <x:c r="K46" s="3"/>
      <x:c r="L46" s="3"/>
      <x:c r="M46" s="3"/>
      <x:c r="N46" s="3"/>
      <x:c r="O46" s="3"/>
      <x:c r="P46" s="3"/>
      <x:c r="Q46" s="3"/>
      <x:c r="R46" s="3"/>
    </x:row>
    <x:row r="47" ht="34" customHeight="1">
      <x:c r="A47" s="88"/>
      <x:c r="B47" s="46"/>
      <x:c r="C47" s="46"/>
      <x:c r="D47" s="46"/>
      <x:c r="E47" s="46"/>
      <x:c r="F47" s="86" t="str">
        <x:f>IF(I47="Planning estimate - review variation",D47/E47,"")</x:f>
      </x:c>
      <x:c r="G47" s="90" t="str">
        <x:f>IF(AND(ISNUMBER(F47),F47&gt;0),B47/F47,"")</x:f>
      </x:c>
      <x:c r="H47" s="83" t="str">
        <x:f>IF(I47="Planning estimate - review variation",B47-C47,"")</x:f>
      </x:c>
      <x:c r="I47" s="83" t="str">
        <x:f>IF(A47="","",IF(COUNT(B47:E47)&lt;4,"Complete four numeric inputs",IF(OR(MIN(B47:D47)&lt;0,E47&lt;=0,MOD(B47,1)&lt;&gt;0,MOD(C47,1)&lt;&gt;0),"Invalid inputs","Planning estimate - review variation")))</x:f>
      </x:c>
      <x:c r="J47" s="3"/>
      <x:c r="K47" s="3"/>
      <x:c r="L47" s="3"/>
      <x:c r="M47" s="3"/>
      <x:c r="N47" s="3"/>
      <x:c r="O47" s="3"/>
      <x:c r="P47" s="3"/>
      <x:c r="Q47" s="3"/>
      <x:c r="R47" s="3"/>
    </x:row>
    <x:row r="48" ht="34" customHeight="1">
      <x:c r="A48" s="88"/>
      <x:c r="B48" s="46"/>
      <x:c r="C48" s="46"/>
      <x:c r="D48" s="46"/>
      <x:c r="E48" s="46"/>
      <x:c r="F48" s="86" t="str">
        <x:f>IF(I48="Planning estimate - review variation",D48/E48,"")</x:f>
      </x:c>
      <x:c r="G48" s="90" t="str">
        <x:f>IF(AND(ISNUMBER(F48),F48&gt;0),B48/F48,"")</x:f>
      </x:c>
      <x:c r="H48" s="83" t="str">
        <x:f>IF(I48="Planning estimate - review variation",B48-C48,"")</x:f>
      </x:c>
      <x:c r="I48" s="83" t="str">
        <x:f>IF(A48="","",IF(COUNT(B48:E48)&lt;4,"Complete four numeric inputs",IF(OR(MIN(B48:D48)&lt;0,E48&lt;=0,MOD(B48,1)&lt;&gt;0,MOD(C48,1)&lt;&gt;0),"Invalid inputs","Planning estimate - review variation")))</x:f>
      </x:c>
      <x:c r="J48" s="3"/>
      <x:c r="K48" s="3"/>
      <x:c r="L48" s="3"/>
      <x:c r="M48" s="3"/>
      <x:c r="N48" s="3"/>
      <x:c r="O48" s="3"/>
      <x:c r="P48" s="3"/>
      <x:c r="Q48" s="3"/>
      <x:c r="R48" s="3"/>
    </x:row>
    <x:row r="49" ht="34" customHeight="1">
      <x:c r="A49" s="88"/>
      <x:c r="B49" s="46"/>
      <x:c r="C49" s="46"/>
      <x:c r="D49" s="46"/>
      <x:c r="E49" s="46"/>
      <x:c r="F49" s="86" t="str">
        <x:f>IF(I49="Planning estimate - review variation",D49/E49,"")</x:f>
      </x:c>
      <x:c r="G49" s="90" t="str">
        <x:f>IF(AND(ISNUMBER(F49),F49&gt;0),B49/F49,"")</x:f>
      </x:c>
      <x:c r="H49" s="83" t="str">
        <x:f>IF(I49="Planning estimate - review variation",B49-C49,"")</x:f>
      </x:c>
      <x:c r="I49" s="83" t="str">
        <x:f>IF(A49="","",IF(COUNT(B49:E49)&lt;4,"Complete four numeric inputs",IF(OR(MIN(B49:D49)&lt;0,E49&lt;=0,MOD(B49,1)&lt;&gt;0,MOD(C49,1)&lt;&gt;0),"Invalid inputs","Planning estimate - review variation")))</x:f>
      </x:c>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M07</x:v>
      </x:c>
      <x:c r="B110" s="34"/>
      <x:c r="C110" s="34"/>
      <x:c r="D110" s="34"/>
      <x:c r="E110" s="34"/>
      <x:c r="F110" s="34"/>
      <x:c r="G110" s="34"/>
      <x:c r="H110" s="34"/>
      <x:c r="I110" s="34"/>
      <x:c r="J110" s="34"/>
      <x:c r="K110" s="34"/>
      <x:c r="L110" s="34"/>
      <x:c r="M110" s="3"/>
      <x:c r="N110" s="3"/>
      <x:c r="O110" s="3"/>
      <x:c r="P110" s="3"/>
      <x:c r="Q110" s="3"/>
      <x:c r="R110" s="3"/>
    </x:row>
    <x:row r="111" ht="20" customHeight="1">
      <x:c r="A111" s="40" t="str">
        <x:v>01  Demand definition</x:v>
      </x:c>
      <x:c r="B111" s="40"/>
      <x:c r="C111" s="40"/>
      <x:c r="D111" s="17" t="str">
        <x:v>State units, period and assumptions.</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Available time</x:v>
      </x:c>
      <x:c r="B117" s="40"/>
      <x:c r="C117" s="40"/>
      <x:c r="D117" s="17" t="str">
        <x:v>Identify net process capacity.</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Work content</x:v>
      </x:c>
      <x:c r="B123" s="40"/>
      <x:c r="C123" s="40"/>
      <x:c r="D123" s="17" t="str">
        <x:v>Record observed time and variation.</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Capacity and load</x:v>
      </x:c>
      <x:c r="B129" s="40"/>
      <x:c r="C129" s="40"/>
      <x:c r="D129" s="17" t="str">
        <x:v>Calculate theoretical units and utilisation.</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Variation and constraint</x:v>
      </x:c>
      <x:c r="B135" s="40"/>
      <x:c r="C135" s="40"/>
      <x:c r="D135" s="17" t="str">
        <x:v>Explain peaks and bottlenecks.</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Response and review</x:v>
      </x:c>
      <x:c r="B141" s="40"/>
      <x:c r="C141" s="40"/>
      <x:c r="D141" s="17" t="str">
        <x:v>Select a test and monitor consequences.</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One hundred per cent planned utilisation leaves no allowance for variation. The calculator is a simple capacity estimate, not a staffing recommendation or queueing simulation. Do not use it to set individual quotas without considering complexity and controls.</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M08, L01, F07  |  METHOD SOURCES: U02, R21, R34</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s>
  <x:pageMargins left="0.7" right="0.7" top="0.75" bottom="0.75" header="0.3" footer="0.3"/>
</x:worksheet>
</file>

<file path=xl/worksheets/sheet62.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38" hidden="0" customWidth="1"/>
    <x:col min="2" max="2" width="26" hidden="0" customWidth="1"/>
    <x:col min="3" max="3" width="68"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M08  Queue, work-in-progress and Little's Law review</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Connect average flow, throughput and work in progress without hiding assumptions.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0" customHeight="1">
      <x:c r="A9" s="3"/>
      <x:c r="B9" s="3"/>
      <x:c r="C9" s="3"/>
      <x:c r="D9" s="3"/>
      <x:c r="E9" s="3"/>
      <x:c r="F9" s="3"/>
      <x:c r="G9" s="3"/>
      <x:c r="H9" s="3"/>
      <x:c r="I9" s="3"/>
      <x:c r="J9" s="3"/>
      <x:c r="K9" s="3"/>
      <x:c r="L9" s="3"/>
      <x:c r="M9" s="3"/>
      <x:c r="N9" s="3"/>
      <x:c r="O9" s="3"/>
      <x:c r="P9" s="3"/>
      <x:c r="Q9" s="3"/>
      <x:c r="R9" s="3"/>
    </x:row>
    <x:row r="10" ht="38" customHeight="1">
      <x:c r="A10" s="95" t="str">
        <x:v>Average WIP</x:v>
      </x:c>
      <x:c r="B10" s="108"/>
      <x:c r="C10" s="66" t="str">
        <x:v>Time-average within the declared boundary; not one snapshot.</x:v>
      </x:c>
      <x:c r="D10" s="3"/>
      <x:c r="E10" s="3"/>
      <x:c r="F10" s="3"/>
      <x:c r="G10" s="3"/>
      <x:c r="H10" s="3"/>
      <x:c r="I10" s="3"/>
      <x:c r="J10" s="3"/>
      <x:c r="K10" s="3"/>
      <x:c r="L10" s="3"/>
      <x:c r="M10" s="3"/>
      <x:c r="N10" s="3"/>
      <x:c r="O10" s="3"/>
      <x:c r="P10" s="3"/>
      <x:c r="Q10" s="3"/>
      <x:c r="R10" s="3"/>
    </x:row>
    <x:row r="11" ht="38" customHeight="1">
      <x:c r="A11" s="95" t="str">
        <x:v>Throughput / time unit</x:v>
      </x:c>
      <x:c r="B11" s="108"/>
      <x:c r="C11" s="66" t="str">
        <x:v>Completed units per matching day/week/etc.</x:v>
      </x:c>
      <x:c r="D11" s="3"/>
      <x:c r="E11" s="3"/>
      <x:c r="F11" s="3"/>
      <x:c r="G11" s="3"/>
      <x:c r="H11" s="3"/>
      <x:c r="I11" s="3"/>
      <x:c r="J11" s="3"/>
      <x:c r="K11" s="3"/>
      <x:c r="L11" s="3"/>
      <x:c r="M11" s="3"/>
      <x:c r="N11" s="3"/>
      <x:c r="O11" s="3"/>
      <x:c r="P11" s="3"/>
      <x:c r="Q11" s="3"/>
      <x:c r="R11" s="3"/>
    </x:row>
    <x:row r="12" ht="38" customHeight="1">
      <x:c r="A12" s="95" t="str">
        <x:v>Observed mean flow time</x:v>
      </x:c>
      <x:c r="B12" s="108"/>
      <x:c r="C12" s="66" t="str">
        <x:v>Mean, not median; same time unit as throughput.</x:v>
      </x:c>
      <x:c r="D12" s="3"/>
      <x:c r="E12" s="3"/>
      <x:c r="F12" s="3"/>
      <x:c r="G12" s="3"/>
      <x:c r="H12" s="3"/>
      <x:c r="I12" s="3"/>
      <x:c r="J12" s="3"/>
      <x:c r="K12" s="3"/>
      <x:c r="L12" s="3"/>
      <x:c r="M12" s="3"/>
      <x:c r="N12" s="3"/>
      <x:c r="O12" s="3"/>
      <x:c r="P12" s="3"/>
      <x:c r="Q12" s="3"/>
      <x:c r="R12" s="3"/>
    </x:row>
    <x:row r="13" ht="38" customHeight="1">
      <x:c r="A13" s="95" t="str">
        <x:v>Time unit</x:v>
      </x:c>
      <x:c r="B13" s="108"/>
      <x:c r="C13" s="66" t="str">
        <x:v>Describe calendar/working day, week or other consistent unit.</x:v>
      </x:c>
      <x:c r="D13" s="3"/>
      <x:c r="E13" s="3"/>
      <x:c r="F13" s="3"/>
      <x:c r="G13" s="3"/>
      <x:c r="H13" s="3"/>
      <x:c r="I13" s="3"/>
      <x:c r="J13" s="3"/>
      <x:c r="K13" s="3"/>
      <x:c r="L13" s="3"/>
      <x:c r="M13" s="3"/>
      <x:c r="N13" s="3"/>
      <x:c r="O13" s="3"/>
      <x:c r="P13" s="3"/>
      <x:c r="Q13" s="3"/>
      <x:c r="R13" s="3"/>
    </x:row>
    <x:row r="14" ht="38" customHeight="1">
      <x:c r="A14" s="95" t="str">
        <x:v>System suitability</x:v>
      </x:c>
      <x:c r="B14" s="108"/>
      <x:c r="C14" s="66" t="str">
        <x:v>Reviewer confirms boundary, stability and comparability.</x:v>
      </x:c>
      <x:c r="D14" s="3"/>
      <x:c r="E14" s="3"/>
      <x:c r="F14" s="3"/>
      <x:c r="G14" s="3"/>
      <x:c r="H14" s="3"/>
      <x:c r="I14" s="3"/>
      <x:c r="J14" s="3"/>
      <x:c r="K14" s="3"/>
      <x:c r="L14" s="3"/>
      <x:c r="M14" s="3"/>
      <x:c r="N14" s="3"/>
      <x:c r="O14" s="3"/>
      <x:c r="P14" s="3"/>
      <x:c r="Q14" s="3"/>
      <x:c r="R14" s="3"/>
    </x:row>
    <x:row r="15" ht="38" customHeight="1">
      <x:c r="A15" s="95" t="str">
        <x:v>Implied mean flow time</x:v>
      </x:c>
      <x:c r="B15" s="83" t="str">
        <x:f>IF(AND(COUNT(B10:B11)=2,B10&gt;=0,B11&gt;0),B10/B11,"")</x:f>
      </x:c>
      <x:c r="C15" s="66" t="str">
        <x:v>WIP / throughput.</x:v>
      </x:c>
      <x:c r="D15" s="3"/>
      <x:c r="E15" s="3"/>
      <x:c r="F15" s="3"/>
      <x:c r="G15" s="3"/>
      <x:c r="H15" s="3"/>
      <x:c r="I15" s="3"/>
      <x:c r="J15" s="3"/>
      <x:c r="K15" s="3"/>
      <x:c r="L15" s="3"/>
      <x:c r="M15" s="3"/>
      <x:c r="N15" s="3"/>
      <x:c r="O15" s="3"/>
      <x:c r="P15" s="3"/>
      <x:c r="Q15" s="3"/>
      <x:c r="R15" s="3"/>
    </x:row>
    <x:row r="16" ht="38" customHeight="1">
      <x:c r="A16" s="95" t="str">
        <x:v>Implied WIP</x:v>
      </x:c>
      <x:c r="B16" s="83" t="str">
        <x:f>IF(AND(COUNT(B11:B12)=2,B11&gt;0,B12&gt;=0),B11*B12,"")</x:f>
      </x:c>
      <x:c r="C16" s="66" t="str">
        <x:v>Throughput x observed mean flow time.</x:v>
      </x:c>
      <x:c r="D16" s="3"/>
      <x:c r="E16" s="3"/>
      <x:c r="F16" s="3"/>
      <x:c r="G16" s="3"/>
      <x:c r="H16" s="3"/>
      <x:c r="I16" s="3"/>
      <x:c r="J16" s="3"/>
      <x:c r="K16" s="3"/>
      <x:c r="L16" s="3"/>
      <x:c r="M16" s="3"/>
      <x:c r="N16" s="3"/>
      <x:c r="O16" s="3"/>
      <x:c r="P16" s="3"/>
      <x:c r="Q16" s="3"/>
      <x:c r="R16" s="3"/>
    </x:row>
    <x:row r="17" ht="38" customHeight="1">
      <x:c r="A17" s="95" t="str">
        <x:v>Difference from entered WIP</x:v>
      </x:c>
      <x:c r="B17" s="83" t="str">
        <x:f>IF(AND(ISNUMBER(B16),ISNUMBER(B10)),B16-B10,"")</x:f>
      </x:c>
      <x:c r="C17" s="66" t="str">
        <x:v>Consistency check, not proof of model validity.</x:v>
      </x:c>
      <x:c r="D17" s="3"/>
      <x:c r="E17" s="3"/>
      <x:c r="F17" s="3"/>
      <x:c r="G17" s="3"/>
      <x:c r="H17" s="3"/>
      <x:c r="I17" s="3"/>
      <x:c r="J17" s="3"/>
      <x:c r="K17" s="3"/>
      <x:c r="L17" s="3"/>
      <x:c r="M17" s="3"/>
      <x:c r="N17" s="3"/>
      <x:c r="O17" s="3"/>
      <x:c r="P17" s="3"/>
      <x:c r="Q17" s="3"/>
      <x:c r="R17" s="3"/>
    </x:row>
    <x:row r="18" ht="38" customHeight="1">
      <x:c r="A18" s="95" t="str">
        <x:v>Readiness</x:v>
      </x:c>
      <x:c r="B18" s="83" t="str">
        <x:f>IF(COUNT(B10:B12)&lt;3,"Complete averages",IF(OR(B10&lt;0,B11&lt;=0,B12&lt;0),"Invalid inputs","Review stability, mean and matched units"))</x:f>
        <x:v>Complete averages</x:v>
      </x:c>
      <x:c r="C18" s="66" t="str">
        <x:v>Negative inputs and zero throughput are not usable.</x:v>
      </x:c>
      <x:c r="D18" s="3"/>
      <x:c r="E18" s="3"/>
      <x:c r="F18" s="3"/>
      <x:c r="G18" s="3"/>
      <x:c r="H18" s="3"/>
      <x:c r="I18" s="3"/>
      <x:c r="J18" s="3"/>
      <x:c r="K18" s="3"/>
      <x:c r="L18" s="3"/>
      <x:c r="M18" s="3"/>
      <x:c r="N18" s="3"/>
      <x:c r="O18" s="3"/>
      <x:c r="P18" s="3"/>
      <x:c r="Q18" s="3"/>
      <x:c r="R18" s="3"/>
    </x:row>
    <x:row r="19" ht="20" customHeight="1">
      <x:c r="A19" s="3"/>
      <x:c r="B19" s="3"/>
      <x:c r="C19" s="3"/>
      <x:c r="D19" s="3"/>
      <x:c r="E19" s="3"/>
      <x:c r="F19" s="3"/>
      <x:c r="G19" s="3"/>
      <x:c r="H19" s="3"/>
      <x:c r="I19" s="3"/>
      <x:c r="J19" s="3"/>
      <x:c r="K19" s="3"/>
      <x:c r="L19" s="3"/>
      <x:c r="M19" s="3"/>
      <x:c r="N19" s="3"/>
      <x:c r="O19" s="3"/>
      <x:c r="P19" s="3"/>
      <x:c r="Q19" s="3"/>
      <x:c r="R19" s="3"/>
    </x:row>
    <x:row r="20" ht="20" customHeight="1">
      <x:c r="A20" s="3"/>
      <x:c r="B20" s="3"/>
      <x:c r="C20" s="3"/>
      <x:c r="D20" s="3"/>
      <x:c r="E20" s="3"/>
      <x:c r="F20" s="3"/>
      <x:c r="G20" s="3"/>
      <x:c r="H20" s="3"/>
      <x:c r="I20" s="3"/>
      <x:c r="J20" s="3"/>
      <x:c r="K20" s="3"/>
      <x:c r="L20" s="3"/>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3"/>
      <x:c r="B22" s="3"/>
      <x:c r="C22" s="3"/>
      <x:c r="D22" s="3"/>
      <x:c r="E22" s="3"/>
      <x:c r="F22" s="3"/>
      <x:c r="G22" s="3"/>
      <x:c r="H22" s="3"/>
      <x:c r="I22" s="3"/>
      <x:c r="J22" s="3"/>
      <x:c r="K22" s="3"/>
      <x:c r="L22" s="3"/>
      <x:c r="M22" s="3"/>
      <x:c r="N22" s="3"/>
      <x:c r="O22" s="3"/>
      <x:c r="P22" s="3"/>
      <x:c r="Q22" s="3"/>
      <x:c r="R22" s="3"/>
    </x:row>
    <x:row r="23" ht="20" customHeight="1">
      <x:c r="A23" s="3"/>
      <x:c r="B23" s="3"/>
      <x:c r="C23" s="3"/>
      <x:c r="D23" s="3"/>
      <x:c r="E23" s="3"/>
      <x:c r="F23" s="3"/>
      <x:c r="G23" s="3"/>
      <x:c r="H23" s="3"/>
      <x:c r="I23" s="3"/>
      <x:c r="J23" s="3"/>
      <x:c r="K23" s="3"/>
      <x:c r="L23" s="3"/>
      <x:c r="M23" s="3"/>
      <x:c r="N23" s="3"/>
      <x:c r="O23" s="3"/>
      <x:c r="P23" s="3"/>
      <x:c r="Q23" s="3"/>
      <x:c r="R23" s="3"/>
    </x:row>
    <x:row r="24" ht="20" customHeight="1">
      <x:c r="A24" s="3"/>
      <x:c r="B24" s="3"/>
      <x:c r="C24" s="3"/>
      <x:c r="D24" s="3"/>
      <x:c r="E24" s="3"/>
      <x:c r="F24" s="3"/>
      <x:c r="G24" s="3"/>
      <x:c r="H24" s="3"/>
      <x:c r="I24" s="3"/>
      <x:c r="J24" s="3"/>
      <x:c r="K24" s="3"/>
      <x:c r="L24" s="3"/>
      <x:c r="M24" s="3"/>
      <x:c r="N24" s="3"/>
      <x:c r="O24" s="3"/>
      <x:c r="P24" s="3"/>
      <x:c r="Q24" s="3"/>
      <x:c r="R24" s="3"/>
    </x:row>
    <x:row r="25" ht="20" customHeight="1">
      <x:c r="A25" s="3"/>
      <x:c r="B25" s="3"/>
      <x:c r="C25" s="3"/>
      <x:c r="D25" s="3"/>
      <x:c r="E25" s="3"/>
      <x:c r="F25" s="3"/>
      <x:c r="G25" s="3"/>
      <x:c r="H25" s="3"/>
      <x:c r="I25" s="3"/>
      <x:c r="J25" s="3"/>
      <x:c r="K25" s="3"/>
      <x:c r="L25" s="3"/>
      <x:c r="M25" s="3"/>
      <x:c r="N25" s="3"/>
      <x:c r="O25" s="3"/>
      <x:c r="P25" s="3"/>
      <x:c r="Q25" s="3"/>
      <x:c r="R25" s="3"/>
    </x:row>
    <x:row r="26" ht="20" customHeight="1">
      <x:c r="A26" s="3"/>
      <x:c r="B26" s="3"/>
      <x:c r="C26" s="3"/>
      <x:c r="D26" s="3"/>
      <x:c r="E26" s="3"/>
      <x:c r="F26" s="3"/>
      <x:c r="G26" s="3"/>
      <x:c r="H26" s="3"/>
      <x:c r="I26" s="3"/>
      <x:c r="J26" s="3"/>
      <x:c r="K26" s="3"/>
      <x:c r="L26" s="3"/>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3"/>
      <x:c r="B28" s="3"/>
      <x:c r="C28" s="3"/>
      <x:c r="D28" s="3"/>
      <x:c r="E28" s="3"/>
      <x:c r="F28" s="3"/>
      <x:c r="G28" s="3"/>
      <x:c r="H28" s="3"/>
      <x:c r="I28" s="3"/>
      <x:c r="J28" s="3"/>
      <x:c r="K28" s="3"/>
      <x:c r="L28" s="3"/>
      <x:c r="M28" s="3"/>
      <x:c r="N28" s="3"/>
      <x:c r="O28" s="3"/>
      <x:c r="P28" s="3"/>
      <x:c r="Q28" s="3"/>
      <x:c r="R28" s="3"/>
    </x:row>
    <x:row r="29" ht="20" customHeight="1">
      <x:c r="A29" s="3"/>
      <x:c r="B29" s="3"/>
      <x:c r="C29" s="3"/>
      <x:c r="D29" s="3"/>
      <x:c r="E29" s="3"/>
      <x:c r="F29" s="3"/>
      <x:c r="G29" s="3"/>
      <x:c r="H29" s="3"/>
      <x:c r="I29" s="3"/>
      <x:c r="J29" s="3"/>
      <x:c r="K29" s="3"/>
      <x:c r="L29" s="3"/>
      <x:c r="M29" s="3"/>
      <x:c r="N29" s="3"/>
      <x:c r="O29" s="3"/>
      <x:c r="P29" s="3"/>
      <x:c r="Q29" s="3"/>
      <x:c r="R29" s="3"/>
    </x:row>
    <x:row r="30" ht="20" customHeight="1">
      <x:c r="A30" s="3"/>
      <x:c r="B30" s="3"/>
      <x:c r="C30" s="3"/>
      <x:c r="D30" s="3"/>
      <x:c r="E30" s="3"/>
      <x:c r="F30" s="3"/>
      <x:c r="G30" s="3"/>
      <x:c r="H30" s="3"/>
      <x:c r="I30" s="3"/>
      <x:c r="J30" s="3"/>
      <x:c r="K30" s="3"/>
      <x:c r="L30" s="3"/>
      <x:c r="M30" s="3"/>
      <x:c r="N30" s="3"/>
      <x:c r="O30" s="3"/>
      <x:c r="P30" s="3"/>
      <x:c r="Q30" s="3"/>
      <x:c r="R30" s="3"/>
    </x:row>
    <x:row r="31" ht="20" customHeight="1">
      <x:c r="A31" s="3"/>
      <x:c r="B31" s="3"/>
      <x:c r="C31" s="3"/>
      <x:c r="D31" s="3"/>
      <x:c r="E31" s="3"/>
      <x:c r="F31" s="3"/>
      <x:c r="G31" s="3"/>
      <x:c r="H31" s="3"/>
      <x:c r="I31" s="3"/>
      <x:c r="J31" s="3"/>
      <x:c r="K31" s="3"/>
      <x:c r="L31" s="3"/>
      <x:c r="M31" s="3"/>
      <x:c r="N31" s="3"/>
      <x:c r="O31" s="3"/>
      <x:c r="P31" s="3"/>
      <x:c r="Q31" s="3"/>
      <x:c r="R31" s="3"/>
    </x:row>
    <x:row r="32" ht="20" customHeight="1">
      <x:c r="A32" s="3"/>
      <x:c r="B32" s="3"/>
      <x:c r="C32" s="3"/>
      <x:c r="D32" s="3"/>
      <x:c r="E32" s="3"/>
      <x:c r="F32" s="3"/>
      <x:c r="G32" s="3"/>
      <x:c r="H32" s="3"/>
      <x:c r="I32" s="3"/>
      <x:c r="J32" s="3"/>
      <x:c r="K32" s="3"/>
      <x:c r="L32" s="3"/>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3"/>
      <x:c r="B34" s="3"/>
      <x:c r="C34" s="3"/>
      <x:c r="D34" s="3"/>
      <x:c r="E34" s="3"/>
      <x:c r="F34" s="3"/>
      <x:c r="G34" s="3"/>
      <x:c r="H34" s="3"/>
      <x:c r="I34" s="3"/>
      <x:c r="J34" s="3"/>
      <x:c r="K34" s="3"/>
      <x:c r="L34" s="3"/>
      <x:c r="M34" s="3"/>
      <x:c r="N34" s="3"/>
      <x:c r="O34" s="3"/>
      <x:c r="P34" s="3"/>
      <x:c r="Q34" s="3"/>
      <x:c r="R34" s="3"/>
    </x:row>
    <x:row r="35" ht="20" customHeight="1">
      <x:c r="A35" s="3"/>
      <x:c r="B35" s="3"/>
      <x:c r="C35" s="3"/>
      <x:c r="D35" s="3"/>
      <x:c r="E35" s="3"/>
      <x:c r="F35" s="3"/>
      <x:c r="G35" s="3"/>
      <x:c r="H35" s="3"/>
      <x:c r="I35" s="3"/>
      <x:c r="J35" s="3"/>
      <x:c r="K35" s="3"/>
      <x:c r="L35" s="3"/>
      <x:c r="M35" s="3"/>
      <x:c r="N35" s="3"/>
      <x:c r="O35" s="3"/>
      <x:c r="P35" s="3"/>
      <x:c r="Q35" s="3"/>
      <x:c r="R35" s="3"/>
    </x:row>
    <x:row r="36" ht="20" customHeight="1">
      <x:c r="A36" s="3"/>
      <x:c r="B36" s="3"/>
      <x:c r="C36" s="3"/>
      <x:c r="D36" s="3"/>
      <x:c r="E36" s="3"/>
      <x:c r="F36" s="3"/>
      <x:c r="G36" s="3"/>
      <x:c r="H36" s="3"/>
      <x:c r="I36" s="3"/>
      <x:c r="J36" s="3"/>
      <x:c r="K36" s="3"/>
      <x:c r="L36" s="3"/>
      <x:c r="M36" s="3"/>
      <x:c r="N36" s="3"/>
      <x:c r="O36" s="3"/>
      <x:c r="P36" s="3"/>
      <x:c r="Q36" s="3"/>
      <x:c r="R36" s="3"/>
    </x:row>
    <x:row r="37" ht="20" customHeight="1">
      <x:c r="A37" s="3"/>
      <x:c r="B37" s="3"/>
      <x:c r="C37" s="3"/>
      <x:c r="D37" s="3"/>
      <x:c r="E37" s="3"/>
      <x:c r="F37" s="3"/>
      <x:c r="G37" s="3"/>
      <x:c r="H37" s="3"/>
      <x:c r="I37" s="3"/>
      <x:c r="J37" s="3"/>
      <x:c r="K37" s="3"/>
      <x:c r="L37" s="3"/>
      <x:c r="M37" s="3"/>
      <x:c r="N37" s="3"/>
      <x:c r="O37" s="3"/>
      <x:c r="P37" s="3"/>
      <x:c r="Q37" s="3"/>
      <x:c r="R37" s="3"/>
    </x:row>
    <x:row r="38" ht="20" customHeight="1">
      <x:c r="A38" s="3"/>
      <x:c r="B38" s="3"/>
      <x:c r="C38" s="3"/>
      <x:c r="D38" s="3"/>
      <x:c r="E38" s="3"/>
      <x:c r="F38" s="3"/>
      <x:c r="G38" s="3"/>
      <x:c r="H38" s="3"/>
      <x:c r="I38" s="3"/>
      <x:c r="J38" s="3"/>
      <x:c r="K38" s="3"/>
      <x:c r="L38" s="3"/>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20" customHeight="1">
      <x:c r="A42" s="3"/>
      <x:c r="B42" s="3"/>
      <x:c r="C42" s="3"/>
      <x:c r="D42" s="3"/>
      <x:c r="E42" s="3"/>
      <x:c r="F42" s="3"/>
      <x:c r="G42" s="3"/>
      <x:c r="H42" s="3"/>
      <x:c r="I42" s="3"/>
      <x:c r="J42" s="3"/>
      <x:c r="K42" s="3"/>
      <x:c r="L42" s="3"/>
      <x:c r="M42" s="3"/>
      <x:c r="N42" s="3"/>
      <x:c r="O42" s="3"/>
      <x:c r="P42" s="3"/>
      <x:c r="Q42" s="3"/>
      <x:c r="R42" s="3"/>
    </x:row>
    <x:row r="43" ht="20" customHeight="1">
      <x:c r="A43" s="3"/>
      <x:c r="B43" s="3"/>
      <x:c r="C43" s="3"/>
      <x:c r="D43" s="3"/>
      <x:c r="E43" s="3"/>
      <x:c r="F43" s="3"/>
      <x:c r="G43" s="3"/>
      <x:c r="H43" s="3"/>
      <x:c r="I43" s="3"/>
      <x:c r="J43" s="3"/>
      <x:c r="K43" s="3"/>
      <x:c r="L43" s="3"/>
      <x:c r="M43" s="3"/>
      <x:c r="N43" s="3"/>
      <x:c r="O43" s="3"/>
      <x:c r="P43" s="3"/>
      <x:c r="Q43" s="3"/>
      <x:c r="R43" s="3"/>
    </x:row>
    <x:row r="44" ht="20" customHeight="1">
      <x:c r="A44" s="3"/>
      <x:c r="B44" s="3"/>
      <x:c r="C44" s="3"/>
      <x:c r="D44" s="3"/>
      <x:c r="E44" s="3"/>
      <x:c r="F44" s="3"/>
      <x:c r="G44" s="3"/>
      <x:c r="H44" s="3"/>
      <x:c r="I44" s="3"/>
      <x:c r="J44" s="3"/>
      <x:c r="K44" s="3"/>
      <x:c r="L44" s="3"/>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3"/>
      <x:c r="B47" s="3"/>
      <x:c r="C47" s="3"/>
      <x:c r="D47" s="3"/>
      <x:c r="E47" s="3"/>
      <x:c r="F47" s="3"/>
      <x:c r="G47" s="3"/>
      <x:c r="H47" s="3"/>
      <x:c r="I47" s="3"/>
      <x:c r="J47" s="3"/>
      <x:c r="K47" s="3"/>
      <x:c r="L47" s="3"/>
      <x:c r="M47" s="3"/>
      <x:c r="N47" s="3"/>
      <x:c r="O47" s="3"/>
      <x:c r="P47" s="3"/>
      <x:c r="Q47" s="3"/>
      <x:c r="R47" s="3"/>
    </x:row>
    <x:row r="48" ht="20" customHeight="1">
      <x:c r="A48" s="3"/>
      <x:c r="B48" s="3"/>
      <x:c r="C48" s="3"/>
      <x:c r="D48" s="3"/>
      <x:c r="E48" s="3"/>
      <x:c r="F48" s="3"/>
      <x:c r="G48" s="3"/>
      <x:c r="H48" s="3"/>
      <x:c r="I48" s="3"/>
      <x:c r="J48" s="3"/>
      <x:c r="K48" s="3"/>
      <x:c r="L48" s="3"/>
      <x:c r="M48" s="3"/>
      <x:c r="N48" s="3"/>
      <x:c r="O48" s="3"/>
      <x:c r="P48" s="3"/>
      <x:c r="Q48" s="3"/>
      <x:c r="R48" s="3"/>
    </x:row>
    <x:row r="49" ht="20" customHeight="1">
      <x:c r="A49" s="3"/>
      <x:c r="B49" s="3"/>
      <x:c r="C49" s="3"/>
      <x:c r="D49" s="3"/>
      <x:c r="E49" s="3"/>
      <x:c r="F49" s="3"/>
      <x:c r="G49" s="3"/>
      <x:c r="H49" s="3"/>
      <x:c r="I49" s="3"/>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M08</x:v>
      </x:c>
      <x:c r="B110" s="34"/>
      <x:c r="C110" s="34"/>
      <x:c r="D110" s="34"/>
      <x:c r="E110" s="34"/>
      <x:c r="F110" s="34"/>
      <x:c r="G110" s="34"/>
      <x:c r="H110" s="34"/>
      <x:c r="I110" s="34"/>
      <x:c r="J110" s="34"/>
      <x:c r="K110" s="34"/>
      <x:c r="L110" s="34"/>
      <x:c r="M110" s="3"/>
      <x:c r="N110" s="3"/>
      <x:c r="O110" s="3"/>
      <x:c r="P110" s="3"/>
      <x:c r="Q110" s="3"/>
      <x:c r="R110" s="3"/>
    </x:row>
    <x:row r="111" ht="20" customHeight="1">
      <x:c r="A111" s="40" t="str">
        <x:v>01  System and units</x:v>
      </x:c>
      <x:c r="B111" s="40"/>
      <x:c r="C111" s="40"/>
      <x:c r="D111" s="17" t="str">
        <x:v>Define the boundary and work item.</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Average WIP</x:v>
      </x:c>
      <x:c r="B117" s="40"/>
      <x:c r="C117" s="40"/>
      <x:c r="D117" s="17" t="str">
        <x:v>Record a time-based average, not one snapshot.</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Throughput</x:v>
      </x:c>
      <x:c r="B123" s="40"/>
      <x:c r="C123" s="40"/>
      <x:c r="D123" s="17" t="str">
        <x:v>Record completed units over a matched period.</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Mean flow time</x:v>
      </x:c>
      <x:c r="B129" s="40"/>
      <x:c r="C129" s="40"/>
      <x:c r="D129" s="17" t="str">
        <x:v>Calculate and compare with observed mean.</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Assumptions and anomalies</x:v>
      </x:c>
      <x:c r="B135" s="40"/>
      <x:c r="C135" s="40"/>
      <x:c r="D135" s="17" t="str">
        <x:v>Record stability and data limitations.</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Improvement decision</x:v>
      </x:c>
      <x:c r="B141" s="40"/>
      <x:c r="C141" s="40"/>
      <x:c r="D141" s="17" t="str">
        <x:v>Use the relationship to frame a test.</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The worksheet does not predict waiting-time distributions or service levels. Little's Law does not justify removing necessary buffers indiscriminately. A snapshot queue count is not the same as long-run average WIP.</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L02, L05, M09  |  METHOD SOURCES: R34, U02</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s>
  <x:pageMargins left="0.7" right="0.7" top="0.75" bottom="0.75" header="0.3" footer="0.3"/>
</x:worksheet>
</file>

<file path=xl/worksheets/sheet63.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M09  Future-state value stream design</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Describe a better flow as a set of testable operating hypotheses.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M09</x:v>
      </x:c>
      <x:c r="B9" s="34"/>
      <x:c r="C9" s="34"/>
      <x:c r="D9" s="34"/>
      <x:c r="E9" s="34"/>
      <x:c r="F9" s="34"/>
      <x:c r="G9" s="34"/>
      <x:c r="H9" s="34"/>
      <x:c r="I9" s="34"/>
      <x:c r="J9" s="34"/>
      <x:c r="K9" s="34"/>
      <x:c r="L9" s="34"/>
      <x:c r="M9" s="3"/>
      <x:c r="N9" s="3"/>
      <x:c r="O9" s="3"/>
      <x:c r="P9" s="3"/>
      <x:c r="Q9" s="3"/>
      <x:c r="R9" s="3"/>
    </x:row>
    <x:row r="10" ht="20" customHeight="1">
      <x:c r="A10" s="40" t="str">
        <x:v>01  Current-state gap</x:v>
      </x:c>
      <x:c r="B10" s="40"/>
      <x:c r="C10" s="40"/>
      <x:c r="D10" s="17" t="str">
        <x:v>State the evidence driving redesign.</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Future flow</x:v>
      </x:c>
      <x:c r="B16" s="40"/>
      <x:c r="C16" s="40"/>
      <x:c r="D16" s="17" t="str">
        <x:v>Describe the intended sequence.</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Information and release</x:v>
      </x:c>
      <x:c r="B22" s="40"/>
      <x:c r="C22" s="40"/>
      <x:c r="D22" s="17" t="str">
        <x:v>Specify signals and queue ownership.</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Quality and exceptions</x:v>
      </x:c>
      <x:c r="B28" s="40"/>
      <x:c r="C28" s="40"/>
      <x:c r="D28" s="17" t="str">
        <x:v>Build controls into the design.</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Tests and predictions</x:v>
      </x:c>
      <x:c r="B34" s="40"/>
      <x:c r="C34" s="40"/>
      <x:c r="D34" s="17" t="str">
        <x:v>Link design choices to learning.</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Implementation and review</x:v>
      </x:c>
      <x:c r="B40" s="40"/>
      <x:c r="C40" s="40"/>
      <x:c r="D40" s="17" t="str">
        <x:v>Define ownership and sequence.</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Do not publish the future-state metrics as achieved results. Distinguish measured baseline, proposed design assumptions and test observations. Full automation is not a prerequisite for better flow.</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F01, F03, L02, P13, A03  |  METHOD SOURCES: U02, R17, R35</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64.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F01  Eliminate, combine, simplify, sequence review</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Challenge process steps in the order and terms used by the supplied Lean guide.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F01</x:v>
      </x:c>
      <x:c r="B9" s="34"/>
      <x:c r="C9" s="34"/>
      <x:c r="D9" s="34"/>
      <x:c r="E9" s="34"/>
      <x:c r="F9" s="34"/>
      <x:c r="G9" s="34"/>
      <x:c r="H9" s="34"/>
      <x:c r="I9" s="34"/>
      <x:c r="J9" s="34"/>
      <x:c r="K9" s="34"/>
      <x:c r="L9" s="34"/>
      <x:c r="M9" s="3"/>
      <x:c r="N9" s="3"/>
      <x:c r="O9" s="3"/>
      <x:c r="P9" s="3"/>
      <x:c r="Q9" s="3"/>
      <x:c r="R9" s="3"/>
    </x:row>
    <x:row r="10" ht="20" customHeight="1">
      <x:c r="A10" s="40" t="str">
        <x:v>01  Step and purpose</x:v>
      </x:c>
      <x:c r="B10" s="40"/>
      <x:c r="C10" s="40"/>
      <x:c r="D10" s="17" t="str">
        <x:v>Name the work and why it exists.</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Eliminate</x:v>
      </x:c>
      <x:c r="B16" s="40"/>
      <x:c r="C16" s="40"/>
      <x:c r="D16" s="17" t="str">
        <x:v>Identify genuinely unnecessary work.</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Combine</x:v>
      </x:c>
      <x:c r="B22" s="40"/>
      <x:c r="C22" s="40"/>
      <x:c r="D22" s="17" t="str">
        <x:v>Identify safe integration opportunities.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Simplify</x:v>
      </x:c>
      <x:c r="B28" s="40"/>
      <x:c r="C28" s="40"/>
      <x:c r="D28" s="17" t="str">
        <x:v>Reduce ambiguity and avoidable effort.</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Sequence</x:v>
      </x:c>
      <x:c r="B34" s="40"/>
      <x:c r="C34" s="40"/>
      <x:c r="D34" s="17" t="str">
        <x:v>Review order and dependencies.</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Test and authority</x:v>
      </x:c>
      <x:c r="B40" s="40"/>
      <x:c r="C40" s="40"/>
      <x:c r="D40" s="17" t="str">
        <x:v>Record the selected change and safeguards.</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Never remove a mandatory approval or data-protection control through a workshop vote. Record proposed changes as hypotheses and obtain the appropriate authority before testing controlled activities.</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P13, F03, F04  |  METHOD SOURCES: U02, R19</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65.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F02  5S for physical and digital workspaces</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Make the right materials and information easy to find, use and maintain.</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F02</x:v>
      </x:c>
      <x:c r="B9" s="34"/>
      <x:c r="C9" s="34"/>
      <x:c r="D9" s="34"/>
      <x:c r="E9" s="34"/>
      <x:c r="F9" s="34"/>
      <x:c r="G9" s="34"/>
      <x:c r="H9" s="34"/>
      <x:c r="I9" s="34"/>
      <x:c r="J9" s="34"/>
      <x:c r="K9" s="34"/>
      <x:c r="L9" s="34"/>
      <x:c r="M9" s="3"/>
      <x:c r="N9" s="3"/>
      <x:c r="O9" s="3"/>
      <x:c r="P9" s="3"/>
      <x:c r="Q9" s="3"/>
      <x:c r="R9" s="3"/>
    </x:row>
    <x:row r="10" ht="20" customHeight="1">
      <x:c r="A10" s="40" t="str">
        <x:v>01  Scope and baseline</x:v>
      </x:c>
      <x:c r="B10" s="40"/>
      <x:c r="C10" s="40"/>
      <x:c r="D10" s="17" t="str">
        <x:v>Define the workspace and observed problem.</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Sort</x:v>
      </x:c>
      <x:c r="B16" s="40"/>
      <x:c r="C16" s="40"/>
      <x:c r="D16" s="17" t="str">
        <x:v>Record needed, uncertain and obsolete items.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Set in order and shine</x:v>
      </x:c>
      <x:c r="B22" s="40"/>
      <x:c r="C22" s="40"/>
      <x:c r="D22" s="17" t="str">
        <x:v>Define location, access and inspection.</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Standardise</x:v>
      </x:c>
      <x:c r="B28" s="40"/>
      <x:c r="C28" s="40"/>
      <x:c r="D28" s="17" t="str">
        <x:v>Specify the agreed working rules.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Sustain and ownership</x:v>
      </x:c>
      <x:c r="B34" s="40"/>
      <x:c r="C34" s="40"/>
      <x:c r="D34" s="17" t="str">
        <x:v>Establish maintenance and response.</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Evidence and follow-up</x:v>
      </x:c>
      <x:c r="B40" s="40"/>
      <x:c r="C40" s="40"/>
      <x:c r="D40" s="17" t="str">
        <x:v>Test usefulness rather than neatness alone.</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Do not delete records because they are old without checking retention obligations. A neat shared folder with excessive permissions is not an improvement. Audit scores are local developmental indicators, not validated performance ratings.</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F03, C04  |  METHOD SOURCES: U02, U03, R38</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66.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F03  Standardised work and exception instructions</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Document the current best tested method with sequence, pace, WIP and safe exceptions.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F03</x:v>
      </x:c>
      <x:c r="B9" s="34"/>
      <x:c r="C9" s="34"/>
      <x:c r="D9" s="34"/>
      <x:c r="E9" s="34"/>
      <x:c r="F9" s="34"/>
      <x:c r="G9" s="34"/>
      <x:c r="H9" s="34"/>
      <x:c r="I9" s="34"/>
      <x:c r="J9" s="34"/>
      <x:c r="K9" s="34"/>
      <x:c r="L9" s="34"/>
      <x:c r="M9" s="3"/>
      <x:c r="N9" s="3"/>
      <x:c r="O9" s="3"/>
      <x:c r="P9" s="3"/>
      <x:c r="Q9" s="3"/>
      <x:c r="R9" s="3"/>
    </x:row>
    <x:row r="10" ht="20" customHeight="1">
      <x:c r="A10" s="40" t="str">
        <x:v>01  Task and prerequisites</x:v>
      </x:c>
      <x:c r="B10" s="40"/>
      <x:c r="C10" s="40"/>
      <x:c r="D10" s="17" t="str">
        <x:v>Define family, readiness and version.</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Work sequence</x:v>
      </x:c>
      <x:c r="B16" s="40"/>
      <x:c r="C16" s="40"/>
      <x:c r="D16" s="17" t="str">
        <x:v>Describe the observable steps.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Quality points and reasons</x:v>
      </x:c>
      <x:c r="B22" s="40"/>
      <x:c r="C22" s="40"/>
      <x:c r="D22" s="17" t="str">
        <x:v>Explain controls, not only instructions.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Pace and WIP</x:v>
      </x:c>
      <x:c r="B28" s="40"/>
      <x:c r="C28" s="40"/>
      <x:c r="D28" s="17" t="str">
        <x:v>State planning references and limits.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Exceptions and recovery</x:v>
      </x:c>
      <x:c r="B34" s="40"/>
      <x:c r="C34" s="40"/>
      <x:c r="D34" s="17" t="str">
        <x:v>Define assistance, stop and escalation.</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Training and maintenance</x:v>
      </x:c>
      <x:c r="B40" s="40"/>
      <x:c r="C40" s="40"/>
      <x:c r="D40" s="17" t="str">
        <x:v>Assign ownership and revision.</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The source's aspiration for consistency is not a claim of literally zero variation. Do not make takt an individual speed quota or use a standard to suppress professional judgement in exceptional cases.</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F04, L02, A05, C04  |  METHOD SOURCES: U02, R20, R21</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67.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F04  Mistake-proofing design and verification</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Prevent errors where possible and make unavoidable errors visible before release.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F04</x:v>
      </x:c>
      <x:c r="B9" s="34"/>
      <x:c r="C9" s="34"/>
      <x:c r="D9" s="34"/>
      <x:c r="E9" s="34"/>
      <x:c r="F9" s="34"/>
      <x:c r="G9" s="34"/>
      <x:c r="H9" s="34"/>
      <x:c r="I9" s="34"/>
      <x:c r="J9" s="34"/>
      <x:c r="K9" s="34"/>
      <x:c r="L9" s="34"/>
      <x:c r="M9" s="3"/>
      <x:c r="N9" s="3"/>
      <x:c r="O9" s="3"/>
      <x:c r="P9" s="3"/>
      <x:c r="Q9" s="3"/>
      <x:c r="R9" s="3"/>
    </x:row>
    <x:row r="10" ht="20" customHeight="1">
      <x:c r="A10" s="40" t="str">
        <x:v>01  Failure mode</x:v>
      </x:c>
      <x:c r="B10" s="40"/>
      <x:c r="C10" s="40"/>
      <x:c r="D10" s="17" t="str">
        <x:v>State the specific error and consequence.</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Cause and insertion point</x:v>
      </x:c>
      <x:c r="B16" s="40"/>
      <x:c r="C16" s="40"/>
      <x:c r="D16" s="17" t="str">
        <x:v>Identify where the error enters.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Control design</x:v>
      </x:c>
      <x:c r="B22" s="40"/>
      <x:c r="C22" s="40"/>
      <x:c r="D22" s="17" t="str">
        <x:v>Specify prevention, detection or containment.</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Safe test cases</x:v>
      </x:c>
      <x:c r="B28" s="40"/>
      <x:c r="C28" s="40"/>
      <x:c r="D28" s="17" t="str">
        <x:v>Test normal and abnormal conditions.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Results and unintended effects</x:v>
      </x:c>
      <x:c r="B34" s="40"/>
      <x:c r="C34" s="40"/>
      <x:c r="D34" s="17" t="str">
        <x:v>Record misses and false alarms.</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Owner and monitoring</x:v>
      </x:c>
      <x:c r="B40" s="40"/>
      <x:c r="C40" s="40"/>
      <x:c r="D40" s="17" t="str">
        <x:v>Maintain and review the control.</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Never test a privacy control by deliberately sending real personal data to the wrong recipient. Use synthetic or controlled test records and approved test environments. A mandatory field is not useful if it encourages invented answers.</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F09, P13, A05  |  METHOD SOURCES: U03, R29, R13</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68.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F05  Stop, signal and escalation protocol</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Make abnormalities visible and give people a safe, supported response.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F05</x:v>
      </x:c>
      <x:c r="B9" s="34"/>
      <x:c r="C9" s="34"/>
      <x:c r="D9" s="34"/>
      <x:c r="E9" s="34"/>
      <x:c r="F9" s="34"/>
      <x:c r="G9" s="34"/>
      <x:c r="H9" s="34"/>
      <x:c r="I9" s="34"/>
      <x:c r="J9" s="34"/>
      <x:c r="K9" s="34"/>
      <x:c r="L9" s="34"/>
      <x:c r="M9" s="3"/>
      <x:c r="N9" s="3"/>
      <x:c r="O9" s="3"/>
      <x:c r="P9" s="3"/>
      <x:c r="Q9" s="3"/>
      <x:c r="R9" s="3"/>
    </x:row>
    <x:row r="10" ht="20" customHeight="1">
      <x:c r="A10" s="40" t="str">
        <x:v>01  Trigger</x:v>
      </x:c>
      <x:c r="B10" s="40"/>
      <x:c r="C10" s="40"/>
      <x:c r="D10" s="17" t="str">
        <x:v>Define the abnormal condition.</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Stop boundary</x:v>
      </x:c>
      <x:c r="B16" s="40"/>
      <x:c r="C16" s="40"/>
      <x:c r="D16" s="17" t="str">
        <x:v>State what pauses and what continues.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Containment</x:v>
      </x:c>
      <x:c r="B22" s="40"/>
      <x:c r="C22" s="40"/>
      <x:c r="D22" s="17" t="str">
        <x:v>Protect the user and evidence.</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Signal and responder</x:v>
      </x:c>
      <x:c r="B28" s="40"/>
      <x:c r="C28" s="40"/>
      <x:c r="D28" s="17" t="str">
        <x:v>Name route, owner and backup.</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Restart authority</x:v>
      </x:c>
      <x:c r="B34" s="40"/>
      <x:c r="C34" s="40"/>
      <x:c r="D34" s="17" t="str">
        <x:v>Define evidence and approval.</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Learning and prevention</x:v>
      </x:c>
      <x:c r="B40" s="40"/>
      <x:c r="C40" s="40"/>
      <x:c r="D40" s="17" t="str">
        <x:v>Review recurrence and system causes.</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A visual board must not expose confidential case details. Do not encourage staff to override controls to maintain throughput. Response times and severity categories are local operating decisions, not universal Lean standards.</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D05, F09, A05  |  METHOD SOURCES: U03, R13, R29</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69.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F06  Batch-size reduction experiment</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Test whether smaller batches improve flow without increasing total effort or risk.</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F06</x:v>
      </x:c>
      <x:c r="B9" s="34"/>
      <x:c r="C9" s="34"/>
      <x:c r="D9" s="34"/>
      <x:c r="E9" s="34"/>
      <x:c r="F9" s="34"/>
      <x:c r="G9" s="34"/>
      <x:c r="H9" s="34"/>
      <x:c r="I9" s="34"/>
      <x:c r="J9" s="34"/>
      <x:c r="K9" s="34"/>
      <x:c r="L9" s="34"/>
      <x:c r="M9" s="3"/>
      <x:c r="N9" s="3"/>
      <x:c r="O9" s="3"/>
      <x:c r="P9" s="3"/>
      <x:c r="Q9" s="3"/>
      <x:c r="R9" s="3"/>
    </x:row>
    <x:row r="10" ht="20" customHeight="1">
      <x:c r="A10" s="40" t="str">
        <x:v>01  Current rule</x:v>
      </x:c>
      <x:c r="B10" s="40"/>
      <x:c r="C10" s="40"/>
      <x:c r="D10" s="17" t="str">
        <x:v>Describe batch size, frequency and reason.</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Baseline evidence</x:v>
      </x:c>
      <x:c r="B16" s="40"/>
      <x:c r="C16" s="40"/>
      <x:c r="D16" s="17" t="str">
        <x:v>Record waiting and effort.</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Proposed batch</x:v>
      </x:c>
      <x:c r="B22" s="40"/>
      <x:c r="C22" s="40"/>
      <x:c r="D22" s="17" t="str">
        <x:v>Define the reversible change.</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Prediction and safeguards</x:v>
      </x:c>
      <x:c r="B28" s="40"/>
      <x:c r="C28" s="40"/>
      <x:c r="D28" s="17" t="str">
        <x:v>State expected benefits and balancing effects.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Observed results</x:v>
      </x:c>
      <x:c r="B34" s="40"/>
      <x:c r="C34" s="40"/>
      <x:c r="D34" s="17" t="str">
        <x:v>Compare the complete process.</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Decision and standard</x:v>
      </x:c>
      <x:c r="B40" s="40"/>
      <x:c r="C40" s="40"/>
      <x:c r="D40" s="17" t="str">
        <x:v>Record the next learning step.</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One-piece flow is a useful aspiration where conditions support it, not a reason to ignore legitimate setup, security or approval constraints. Measure the whole service rather than only the batching desk.</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P13, L04, F08  |  METHOD SOURCES: U02, R17, R23</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70.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5" hidden="0" customWidth="1"/>
    <x:col min="2" max="2" width="38" hidden="0" customWidth="1"/>
    <x:col min="3" max="3" width="25" hidden="0" customWidth="1"/>
    <x:col min="4" max="4" width="15" hidden="0" customWidth="1"/>
    <x:col min="5" max="5" width="22" hidden="0" customWidth="1"/>
    <x:col min="6" max="6" width="48"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F07  Work-element balance and constraint review</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Compare work content and skills across the sequence rather than averaging the whole team.</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6" customHeight="1">
      <x:c r="A9" s="77" t="str">
        <x:v>Element ID</x:v>
      </x:c>
      <x:c r="B9" s="77" t="str">
        <x:v>Work element</x:v>
      </x:c>
      <x:c r="C9" s="77" t="str">
        <x:v>Role</x:v>
      </x:c>
      <x:c r="D9" s="77" t="str">
        <x:v>Minutes</x:v>
      </x:c>
      <x:c r="E9" s="77" t="str">
        <x:v>Type</x:v>
      </x:c>
      <x:c r="F9" s="77" t="str">
        <x:v>Evidence / variation</x:v>
      </x:c>
      <x:c r="G9" s="3" t="str">
        <x:v>Data check</x:v>
      </x:c>
      <x:c r="H9" s="77" t="str">
        <x:v>Role (input)</x:v>
      </x:c>
      <x:c r="I9" s="77" t="str">
        <x:v>Total minutes</x:v>
      </x:c>
      <x:c r="J9" s="77" t="str">
        <x:v>Takt reference</x:v>
      </x:c>
      <x:c r="K9" s="77" t="str">
        <x:v>Difference</x:v>
      </x:c>
      <x:c r="L9" s="3"/>
      <x:c r="M9" s="3"/>
      <x:c r="N9" s="3"/>
      <x:c r="O9" s="3"/>
      <x:c r="P9" s="3"/>
      <x:c r="Q9" s="3"/>
      <x:c r="R9" s="3"/>
    </x:row>
    <x:row r="10" ht="34" customHeight="1">
      <x:c r="A10" s="46"/>
      <x:c r="B10" s="46"/>
      <x:c r="C10" s="46"/>
      <x:c r="D10" s="46"/>
      <x:c r="E10" s="46"/>
      <x:c r="F10" s="46"/>
      <x:c r="G10" s="83" t="str">
        <x:f>IF(COUNTA(A10:F10)=0,"",IF(OR(A10="",B10="",C10="",NOT(ISNUMBER(D10))),"Complete element, role and minutes",IF(D10&lt;0,"Negative time - review","Valid")))</x:f>
      </x:c>
      <x:c r="H10" s="44"/>
      <x:c r="I10" s="83" t="str">
        <x:f>IF(H10="","",SUMIF($C$10:$C$39,H10,$D$10:$D$39))</x:f>
      </x:c>
      <x:c r="J10" s="83" t="str">
        <x:f>IF(AND(H10&lt;&gt;"",ISNUMBER('L01 Takt Pitch'!$B$13)),'L01 Takt Pitch'!$B$13,"")</x:f>
      </x:c>
      <x:c r="K10" s="83" t="str">
        <x:f>IF(AND(ISNUMBER(I10),ISNUMBER(J10)),I10-J10,"")</x:f>
      </x:c>
      <x:c r="L10" s="3"/>
      <x:c r="M10" s="3"/>
      <x:c r="N10" s="3"/>
      <x:c r="O10" s="3"/>
      <x:c r="P10" s="3"/>
      <x:c r="Q10" s="3"/>
      <x:c r="R10" s="3"/>
    </x:row>
    <x:row r="11" ht="34" customHeight="1">
      <x:c r="A11" s="46"/>
      <x:c r="B11" s="46"/>
      <x:c r="C11" s="46"/>
      <x:c r="D11" s="46"/>
      <x:c r="E11" s="46"/>
      <x:c r="F11" s="46"/>
      <x:c r="G11" s="83" t="str">
        <x:f>IF(COUNTA(A11:F11)=0,"",IF(OR(A11="",B11="",C11="",NOT(ISNUMBER(D11))),"Complete element, role and minutes",IF(D11&lt;0,"Negative time - review","Valid")))</x:f>
      </x:c>
      <x:c r="H11" s="44"/>
      <x:c r="I11" s="83" t="str">
        <x:f>IF(H11="","",SUMIF($C$10:$C$39,H11,$D$10:$D$39))</x:f>
      </x:c>
      <x:c r="J11" s="83" t="str">
        <x:f>IF(AND(H11&lt;&gt;"",ISNUMBER('L2 Takt Pitch'!$B$13)),'L2 Takt Pitch'!$B$13,"")</x:f>
      </x:c>
      <x:c r="K11" s="83" t="str">
        <x:f>IF(AND(ISNUMBER(I11),ISNUMBER(J11)),I11-J11,"")</x:f>
      </x:c>
      <x:c r="L11" s="3"/>
      <x:c r="M11" s="3"/>
      <x:c r="N11" s="3"/>
      <x:c r="O11" s="3"/>
      <x:c r="P11" s="3"/>
      <x:c r="Q11" s="3"/>
      <x:c r="R11" s="3"/>
    </x:row>
    <x:row r="12" ht="34" customHeight="1">
      <x:c r="A12" s="46"/>
      <x:c r="B12" s="46"/>
      <x:c r="C12" s="46"/>
      <x:c r="D12" s="46"/>
      <x:c r="E12" s="46"/>
      <x:c r="F12" s="46"/>
      <x:c r="G12" s="83" t="str">
        <x:f>IF(COUNTA(A12:F12)=0,"",IF(OR(A12="",B12="",C12="",NOT(ISNUMBER(D12))),"Complete element, role and minutes",IF(D12&lt;0,"Negative time - review","Valid")))</x:f>
      </x:c>
      <x:c r="H12" s="44"/>
      <x:c r="I12" s="83" t="str">
        <x:f>IF(H12="","",SUMIF($C$10:$C$39,H12,$D$10:$D$39))</x:f>
      </x:c>
      <x:c r="J12" s="83" t="str">
        <x:f>IF(AND(H12&lt;&gt;"",ISNUMBER('L3 Takt Pitch'!$B$13)),'L3 Takt Pitch'!$B$13,"")</x:f>
      </x:c>
      <x:c r="K12" s="83" t="str">
        <x:f>IF(AND(ISNUMBER(I12),ISNUMBER(J12)),I12-J12,"")</x:f>
      </x:c>
      <x:c r="L12" s="3"/>
      <x:c r="M12" s="3"/>
      <x:c r="N12" s="3"/>
      <x:c r="O12" s="3"/>
      <x:c r="P12" s="3"/>
      <x:c r="Q12" s="3"/>
      <x:c r="R12" s="3"/>
    </x:row>
    <x:row r="13" ht="34" customHeight="1">
      <x:c r="A13" s="46"/>
      <x:c r="B13" s="46"/>
      <x:c r="C13" s="46"/>
      <x:c r="D13" s="46"/>
      <x:c r="E13" s="46"/>
      <x:c r="F13" s="46"/>
      <x:c r="G13" s="83" t="str">
        <x:f>IF(COUNTA(A13:F13)=0,"",IF(OR(A13="",B13="",C13="",NOT(ISNUMBER(D13))),"Complete element, role and minutes",IF(D13&lt;0,"Negative time - review","Valid")))</x:f>
      </x:c>
      <x:c r="H13" s="44"/>
      <x:c r="I13" s="83" t="str">
        <x:f>IF(H13="","",SUMIF($C$10:$C$39,H13,$D$10:$D$39))</x:f>
      </x:c>
      <x:c r="J13" s="83" t="str">
        <x:f>IF(AND(H13&lt;&gt;"",ISNUMBER('L4 Takt Pitch'!$B$13)),'L4 Takt Pitch'!$B$13,"")</x:f>
      </x:c>
      <x:c r="K13" s="83" t="str">
        <x:f>IF(AND(ISNUMBER(I13),ISNUMBER(J13)),I13-J13,"")</x:f>
      </x:c>
      <x:c r="L13" s="3"/>
      <x:c r="M13" s="3"/>
      <x:c r="N13" s="3"/>
      <x:c r="O13" s="3"/>
      <x:c r="P13" s="3"/>
      <x:c r="Q13" s="3"/>
      <x:c r="R13" s="3"/>
    </x:row>
    <x:row r="14" ht="34" customHeight="1">
      <x:c r="A14" s="46"/>
      <x:c r="B14" s="46"/>
      <x:c r="C14" s="46"/>
      <x:c r="D14" s="46"/>
      <x:c r="E14" s="46"/>
      <x:c r="F14" s="46"/>
      <x:c r="G14" s="83" t="str">
        <x:f>IF(COUNTA(A14:F14)=0,"",IF(OR(A14="",B14="",C14="",NOT(ISNUMBER(D14))),"Complete element, role and minutes",IF(D14&lt;0,"Negative time - review","Valid")))</x:f>
      </x:c>
      <x:c r="H14" s="44"/>
      <x:c r="I14" s="83" t="str">
        <x:f>IF(H14="","",SUMIF($C$10:$C$39,H14,$D$10:$D$39))</x:f>
      </x:c>
      <x:c r="J14" s="83" t="str">
        <x:f>IF(AND(H14&lt;&gt;"",ISNUMBER('L5 Takt Pitch'!$B$13)),'L5 Takt Pitch'!$B$13,"")</x:f>
      </x:c>
      <x:c r="K14" s="83" t="str">
        <x:f>IF(AND(ISNUMBER(I14),ISNUMBER(J14)),I14-J14,"")</x:f>
      </x:c>
      <x:c r="L14" s="3"/>
      <x:c r="M14" s="3"/>
      <x:c r="N14" s="3"/>
      <x:c r="O14" s="3"/>
      <x:c r="P14" s="3"/>
      <x:c r="Q14" s="3"/>
      <x:c r="R14" s="3"/>
    </x:row>
    <x:row r="15" ht="34" customHeight="1">
      <x:c r="A15" s="46"/>
      <x:c r="B15" s="46"/>
      <x:c r="C15" s="46"/>
      <x:c r="D15" s="46"/>
      <x:c r="E15" s="46"/>
      <x:c r="F15" s="46"/>
      <x:c r="G15" s="83" t="str">
        <x:f>IF(COUNTA(A15:F15)=0,"",IF(OR(A15="",B15="",C15="",NOT(ISNUMBER(D15))),"Complete element, role and minutes",IF(D15&lt;0,"Negative time - review","Valid")))</x:f>
      </x:c>
      <x:c r="H15" s="44"/>
      <x:c r="I15" s="83" t="str">
        <x:f>IF(H15="","",SUMIF($C$10:$C$39,H15,$D$10:$D$39))</x:f>
      </x:c>
      <x:c r="J15" s="83" t="str">
        <x:f>IF(AND(H15&lt;&gt;"",ISNUMBER('L6 Takt Pitch'!$B$13)),'L6 Takt Pitch'!$B$13,"")</x:f>
      </x:c>
      <x:c r="K15" s="83" t="str">
        <x:f>IF(AND(ISNUMBER(I15),ISNUMBER(J15)),I15-J15,"")</x:f>
      </x:c>
      <x:c r="L15" s="3"/>
      <x:c r="M15" s="3"/>
      <x:c r="N15" s="3"/>
      <x:c r="O15" s="3"/>
      <x:c r="P15" s="3"/>
      <x:c r="Q15" s="3"/>
      <x:c r="R15" s="3"/>
    </x:row>
    <x:row r="16" ht="34" customHeight="1">
      <x:c r="A16" s="46"/>
      <x:c r="B16" s="46"/>
      <x:c r="C16" s="46"/>
      <x:c r="D16" s="46"/>
      <x:c r="E16" s="46"/>
      <x:c r="F16" s="46"/>
      <x:c r="G16" s="83" t="str">
        <x:f>IF(COUNTA(A16:F16)=0,"",IF(OR(A16="",B16="",C16="",NOT(ISNUMBER(D16))),"Complete element, role and minutes",IF(D16&lt;0,"Negative time - review","Valid")))</x:f>
      </x:c>
      <x:c r="H16" s="44"/>
      <x:c r="I16" s="83" t="str">
        <x:f>IF(H16="","",SUMIF($C$10:$C$39,H16,$D$10:$D$39))</x:f>
      </x:c>
      <x:c r="J16" s="83" t="str">
        <x:f>IF(AND(H16&lt;&gt;"",ISNUMBER('L7 Takt Pitch'!$B$13)),'L7 Takt Pitch'!$B$13,"")</x:f>
      </x:c>
      <x:c r="K16" s="83" t="str">
        <x:f>IF(AND(ISNUMBER(I16),ISNUMBER(J16)),I16-J16,"")</x:f>
      </x:c>
      <x:c r="L16" s="3"/>
      <x:c r="M16" s="3"/>
      <x:c r="N16" s="3"/>
      <x:c r="O16" s="3"/>
      <x:c r="P16" s="3"/>
      <x:c r="Q16" s="3"/>
      <x:c r="R16" s="3"/>
    </x:row>
    <x:row r="17" ht="34" customHeight="1">
      <x:c r="A17" s="46"/>
      <x:c r="B17" s="46"/>
      <x:c r="C17" s="46"/>
      <x:c r="D17" s="46"/>
      <x:c r="E17" s="46"/>
      <x:c r="F17" s="46"/>
      <x:c r="G17" s="83" t="str">
        <x:f>IF(COUNTA(A17:F17)=0,"",IF(OR(A17="",B17="",C17="",NOT(ISNUMBER(D17))),"Complete element, role and minutes",IF(D17&lt;0,"Negative time - review","Valid")))</x:f>
      </x:c>
      <x:c r="H17" s="44"/>
      <x:c r="I17" s="83" t="str">
        <x:f>IF(H17="","",SUMIF($C$10:$C$39,H17,$D$10:$D$39))</x:f>
      </x:c>
      <x:c r="J17" s="83" t="str">
        <x:f>IF(AND(H17&lt;&gt;"",ISNUMBER('L8 Takt Pitch'!$B$13)),'L8 Takt Pitch'!$B$13,"")</x:f>
      </x:c>
      <x:c r="K17" s="83" t="str">
        <x:f>IF(AND(ISNUMBER(I17),ISNUMBER(J17)),I17-J17,"")</x:f>
      </x:c>
      <x:c r="L17" s="3"/>
      <x:c r="M17" s="3"/>
      <x:c r="N17" s="3"/>
      <x:c r="O17" s="3"/>
      <x:c r="P17" s="3"/>
      <x:c r="Q17" s="3"/>
      <x:c r="R17" s="3"/>
    </x:row>
    <x:row r="18" ht="34" customHeight="1">
      <x:c r="A18" s="46"/>
      <x:c r="B18" s="46"/>
      <x:c r="C18" s="46"/>
      <x:c r="D18" s="46"/>
      <x:c r="E18" s="46"/>
      <x:c r="F18" s="46"/>
      <x:c r="G18" s="83" t="str">
        <x:f>IF(COUNTA(A18:F18)=0,"",IF(OR(A18="",B18="",C18="",NOT(ISNUMBER(D18))),"Complete element, role and minutes",IF(D18&lt;0,"Negative time - review","Valid")))</x:f>
      </x:c>
      <x:c r="H18" s="44"/>
      <x:c r="I18" s="83" t="str">
        <x:f>IF(H18="","",SUMIF($C$10:$C$39,H18,$D$10:$D$39))</x:f>
      </x:c>
      <x:c r="J18" s="83" t="str">
        <x:f>IF(AND(H18&lt;&gt;"",ISNUMBER('L9 Takt Pitch'!$B$13)),'L9 Takt Pitch'!$B$13,"")</x:f>
      </x:c>
      <x:c r="K18" s="83" t="str">
        <x:f>IF(AND(ISNUMBER(I18),ISNUMBER(J18)),I18-J18,"")</x:f>
      </x:c>
      <x:c r="L18" s="3"/>
      <x:c r="M18" s="3"/>
      <x:c r="N18" s="3"/>
      <x:c r="O18" s="3"/>
      <x:c r="P18" s="3"/>
      <x:c r="Q18" s="3"/>
      <x:c r="R18" s="3"/>
    </x:row>
    <x:row r="19" ht="34" customHeight="1">
      <x:c r="A19" s="46"/>
      <x:c r="B19" s="46"/>
      <x:c r="C19" s="46"/>
      <x:c r="D19" s="46"/>
      <x:c r="E19" s="46"/>
      <x:c r="F19" s="46"/>
      <x:c r="G19" s="83" t="str">
        <x:f>IF(COUNTA(A19:F19)=0,"",IF(OR(A19="",B19="",C19="",NOT(ISNUMBER(D19))),"Complete element, role and minutes",IF(D19&lt;0,"Negative time - review","Valid")))</x:f>
      </x:c>
      <x:c r="H19" s="44"/>
      <x:c r="I19" s="83" t="str">
        <x:f>IF(H19="","",SUMIF($C$10:$C$39,H19,$D$10:$D$39))</x:f>
      </x:c>
      <x:c r="J19" s="83" t="str">
        <x:f>IF(AND(H19&lt;&gt;"",ISNUMBER('L10 Takt Pitch'!$B$13)),'L10 Takt Pitch'!$B$13,"")</x:f>
      </x:c>
      <x:c r="K19" s="83" t="str">
        <x:f>IF(AND(ISNUMBER(I19),ISNUMBER(J19)),I19-J19,"")</x:f>
      </x:c>
      <x:c r="L19" s="3"/>
      <x:c r="M19" s="3"/>
      <x:c r="N19" s="3"/>
      <x:c r="O19" s="3"/>
      <x:c r="P19" s="3"/>
      <x:c r="Q19" s="3"/>
      <x:c r="R19" s="3"/>
    </x:row>
    <x:row r="20" ht="34" customHeight="1">
      <x:c r="A20" s="46"/>
      <x:c r="B20" s="46"/>
      <x:c r="C20" s="46"/>
      <x:c r="D20" s="46"/>
      <x:c r="E20" s="46"/>
      <x:c r="F20" s="46"/>
      <x:c r="G20" s="83" t="str">
        <x:f>IF(COUNTA(A20:F20)=0,"",IF(OR(A20="",B20="",C20="",NOT(ISNUMBER(D20))),"Complete element, role and minutes",IF(D20&lt;0,"Negative time - review","Valid")))</x:f>
      </x:c>
      <x:c r="H20" s="3"/>
      <x:c r="I20" s="3"/>
      <x:c r="J20" s="3"/>
      <x:c r="K20" s="3"/>
      <x:c r="L20" s="3"/>
      <x:c r="M20" s="3"/>
      <x:c r="N20" s="3"/>
      <x:c r="O20" s="3"/>
      <x:c r="P20" s="3"/>
      <x:c r="Q20" s="3"/>
      <x:c r="R20" s="3"/>
    </x:row>
    <x:row r="21" ht="34" customHeight="1">
      <x:c r="A21" s="46"/>
      <x:c r="B21" s="46"/>
      <x:c r="C21" s="46"/>
      <x:c r="D21" s="46"/>
      <x:c r="E21" s="46"/>
      <x:c r="F21" s="46"/>
      <x:c r="G21" s="83" t="str">
        <x:f>IF(COUNTA(A21:F21)=0,"",IF(OR(A21="",B21="",C21="",NOT(ISNUMBER(D21))),"Complete element, role and minutes",IF(D21&lt;0,"Negative time - review","Valid")))</x:f>
      </x:c>
      <x:c r="H21" s="3"/>
      <x:c r="I21" s="3"/>
      <x:c r="J21" s="3"/>
      <x:c r="K21" s="3"/>
      <x:c r="L21" s="3"/>
      <x:c r="M21" s="3"/>
      <x:c r="N21" s="3"/>
      <x:c r="O21" s="3"/>
      <x:c r="P21" s="3"/>
      <x:c r="Q21" s="3"/>
      <x:c r="R21" s="3"/>
    </x:row>
    <x:row r="22" ht="34" customHeight="1">
      <x:c r="A22" s="46"/>
      <x:c r="B22" s="46"/>
      <x:c r="C22" s="46"/>
      <x:c r="D22" s="46"/>
      <x:c r="E22" s="46"/>
      <x:c r="F22" s="46"/>
      <x:c r="G22" s="83" t="str">
        <x:f>IF(COUNTA(A22:F22)=0,"",IF(OR(A22="",B22="",C22="",NOT(ISNUMBER(D22))),"Complete element, role and minutes",IF(D22&lt;0,"Negative time - review","Valid")))</x:f>
      </x:c>
      <x:c r="H22" s="3"/>
      <x:c r="I22" s="3"/>
      <x:c r="J22" s="3"/>
      <x:c r="K22" s="3"/>
      <x:c r="L22" s="3"/>
      <x:c r="M22" s="3"/>
      <x:c r="N22" s="3"/>
      <x:c r="O22" s="3"/>
      <x:c r="P22" s="3"/>
      <x:c r="Q22" s="3"/>
      <x:c r="R22" s="3"/>
    </x:row>
    <x:row r="23" ht="34" customHeight="1">
      <x:c r="A23" s="46"/>
      <x:c r="B23" s="46"/>
      <x:c r="C23" s="46"/>
      <x:c r="D23" s="46"/>
      <x:c r="E23" s="46"/>
      <x:c r="F23" s="46"/>
      <x:c r="G23" s="83" t="str">
        <x:f>IF(COUNTA(A23:F23)=0,"",IF(OR(A23="",B23="",C23="",NOT(ISNUMBER(D23))),"Complete element, role and minutes",IF(D23&lt;0,"Negative time - review","Valid")))</x:f>
      </x:c>
      <x:c r="H23" s="3"/>
      <x:c r="I23" s="3"/>
      <x:c r="J23" s="3"/>
      <x:c r="K23" s="3"/>
      <x:c r="L23" s="3"/>
      <x:c r="M23" s="3"/>
      <x:c r="N23" s="3"/>
      <x:c r="O23" s="3"/>
      <x:c r="P23" s="3"/>
      <x:c r="Q23" s="3"/>
      <x:c r="R23" s="3"/>
    </x:row>
    <x:row r="24" ht="34" customHeight="1">
      <x:c r="A24" s="46"/>
      <x:c r="B24" s="46"/>
      <x:c r="C24" s="46"/>
      <x:c r="D24" s="46"/>
      <x:c r="E24" s="46"/>
      <x:c r="F24" s="46"/>
      <x:c r="G24" s="83" t="str">
        <x:f>IF(COUNTA(A24:F24)=0,"",IF(OR(A24="",B24="",C24="",NOT(ISNUMBER(D24))),"Complete element, role and minutes",IF(D24&lt;0,"Negative time - review","Valid")))</x:f>
      </x:c>
      <x:c r="H24" s="3"/>
      <x:c r="I24" s="3"/>
      <x:c r="J24" s="3"/>
      <x:c r="K24" s="3"/>
      <x:c r="L24" s="3"/>
      <x:c r="M24" s="3"/>
      <x:c r="N24" s="3"/>
      <x:c r="O24" s="3"/>
      <x:c r="P24" s="3"/>
      <x:c r="Q24" s="3"/>
      <x:c r="R24" s="3"/>
    </x:row>
    <x:row r="25" ht="34" customHeight="1">
      <x:c r="A25" s="46"/>
      <x:c r="B25" s="46"/>
      <x:c r="C25" s="46"/>
      <x:c r="D25" s="46"/>
      <x:c r="E25" s="46"/>
      <x:c r="F25" s="46"/>
      <x:c r="G25" s="83" t="str">
        <x:f>IF(COUNTA(A25:F25)=0,"",IF(OR(A25="",B25="",C25="",NOT(ISNUMBER(D25))),"Complete element, role and minutes",IF(D25&lt;0,"Negative time - review","Valid")))</x:f>
      </x:c>
      <x:c r="H25" s="3"/>
      <x:c r="I25" s="3"/>
      <x:c r="J25" s="3"/>
      <x:c r="K25" s="3"/>
      <x:c r="L25" s="3"/>
      <x:c r="M25" s="3"/>
      <x:c r="N25" s="3"/>
      <x:c r="O25" s="3"/>
      <x:c r="P25" s="3"/>
      <x:c r="Q25" s="3"/>
      <x:c r="R25" s="3"/>
    </x:row>
    <x:row r="26" ht="34" customHeight="1">
      <x:c r="A26" s="46"/>
      <x:c r="B26" s="46"/>
      <x:c r="C26" s="46"/>
      <x:c r="D26" s="46"/>
      <x:c r="E26" s="46"/>
      <x:c r="F26" s="46"/>
      <x:c r="G26" s="83" t="str">
        <x:f>IF(COUNTA(A26:F26)=0,"",IF(OR(A26="",B26="",C26="",NOT(ISNUMBER(D26))),"Complete element, role and minutes",IF(D26&lt;0,"Negative time - review","Valid")))</x:f>
      </x:c>
      <x:c r="H26" s="3"/>
      <x:c r="I26" s="3"/>
      <x:c r="J26" s="3"/>
      <x:c r="K26" s="3"/>
      <x:c r="L26" s="3"/>
      <x:c r="M26" s="3"/>
      <x:c r="N26" s="3"/>
      <x:c r="O26" s="3"/>
      <x:c r="P26" s="3"/>
      <x:c r="Q26" s="3"/>
      <x:c r="R26" s="3"/>
    </x:row>
    <x:row r="27" ht="34" customHeight="1">
      <x:c r="A27" s="46"/>
      <x:c r="B27" s="46"/>
      <x:c r="C27" s="46"/>
      <x:c r="D27" s="46"/>
      <x:c r="E27" s="46"/>
      <x:c r="F27" s="46"/>
      <x:c r="G27" s="83" t="str">
        <x:f>IF(COUNTA(A27:F27)=0,"",IF(OR(A27="",B27="",C27="",NOT(ISNUMBER(D27))),"Complete element, role and minutes",IF(D27&lt;0,"Negative time - review","Valid")))</x:f>
      </x:c>
      <x:c r="H27" s="3"/>
      <x:c r="I27" s="3"/>
      <x:c r="J27" s="3"/>
      <x:c r="K27" s="3"/>
      <x:c r="L27" s="3"/>
      <x:c r="M27" s="3"/>
      <x:c r="N27" s="3"/>
      <x:c r="O27" s="3"/>
      <x:c r="P27" s="3"/>
      <x:c r="Q27" s="3"/>
      <x:c r="R27" s="3"/>
    </x:row>
    <x:row r="28" ht="34" customHeight="1">
      <x:c r="A28" s="46"/>
      <x:c r="B28" s="46"/>
      <x:c r="C28" s="46"/>
      <x:c r="D28" s="46"/>
      <x:c r="E28" s="46"/>
      <x:c r="F28" s="46"/>
      <x:c r="G28" s="83" t="str">
        <x:f>IF(COUNTA(A28:F28)=0,"",IF(OR(A28="",B28="",C28="",NOT(ISNUMBER(D28))),"Complete element, role and minutes",IF(D28&lt;0,"Negative time - review","Valid")))</x:f>
      </x:c>
      <x:c r="H28" s="3"/>
      <x:c r="I28" s="3"/>
      <x:c r="J28" s="3"/>
      <x:c r="K28" s="3"/>
      <x:c r="L28" s="3"/>
      <x:c r="M28" s="3"/>
      <x:c r="N28" s="3"/>
      <x:c r="O28" s="3"/>
      <x:c r="P28" s="3"/>
      <x:c r="Q28" s="3"/>
      <x:c r="R28" s="3"/>
    </x:row>
    <x:row r="29" ht="34" customHeight="1">
      <x:c r="A29" s="46"/>
      <x:c r="B29" s="46"/>
      <x:c r="C29" s="46"/>
      <x:c r="D29" s="46"/>
      <x:c r="E29" s="46"/>
      <x:c r="F29" s="46"/>
      <x:c r="G29" s="83" t="str">
        <x:f>IF(COUNTA(A29:F29)=0,"",IF(OR(A29="",B29="",C29="",NOT(ISNUMBER(D29))),"Complete element, role and minutes",IF(D29&lt;0,"Negative time - review","Valid")))</x:f>
      </x:c>
      <x:c r="H29" s="3"/>
      <x:c r="I29" s="3"/>
      <x:c r="J29" s="3"/>
      <x:c r="K29" s="3"/>
      <x:c r="L29" s="3"/>
      <x:c r="M29" s="3"/>
      <x:c r="N29" s="3"/>
      <x:c r="O29" s="3"/>
      <x:c r="P29" s="3"/>
      <x:c r="Q29" s="3"/>
      <x:c r="R29" s="3"/>
    </x:row>
    <x:row r="30" ht="34" customHeight="1">
      <x:c r="A30" s="46"/>
      <x:c r="B30" s="46"/>
      <x:c r="C30" s="46"/>
      <x:c r="D30" s="46"/>
      <x:c r="E30" s="46"/>
      <x:c r="F30" s="46"/>
      <x:c r="G30" s="83" t="str">
        <x:f>IF(COUNTA(A30:F30)=0,"",IF(OR(A30="",B30="",C30="",NOT(ISNUMBER(D30))),"Complete element, role and minutes",IF(D30&lt;0,"Negative time - review","Valid")))</x:f>
      </x:c>
      <x:c r="H30" s="3"/>
      <x:c r="I30" s="3"/>
      <x:c r="J30" s="3"/>
      <x:c r="K30" s="3"/>
      <x:c r="L30" s="3"/>
      <x:c r="M30" s="3"/>
      <x:c r="N30" s="3"/>
      <x:c r="O30" s="3"/>
      <x:c r="P30" s="3"/>
      <x:c r="Q30" s="3"/>
      <x:c r="R30" s="3"/>
    </x:row>
    <x:row r="31" ht="34" customHeight="1">
      <x:c r="A31" s="46"/>
      <x:c r="B31" s="46"/>
      <x:c r="C31" s="46"/>
      <x:c r="D31" s="46"/>
      <x:c r="E31" s="46"/>
      <x:c r="F31" s="46"/>
      <x:c r="G31" s="83" t="str">
        <x:f>IF(COUNTA(A31:F31)=0,"",IF(OR(A31="",B31="",C31="",NOT(ISNUMBER(D31))),"Complete element, role and minutes",IF(D31&lt;0,"Negative time - review","Valid")))</x:f>
      </x:c>
      <x:c r="H31" s="3"/>
      <x:c r="I31" s="3"/>
      <x:c r="J31" s="3"/>
      <x:c r="K31" s="3"/>
      <x:c r="L31" s="3"/>
      <x:c r="M31" s="3"/>
      <x:c r="N31" s="3"/>
      <x:c r="O31" s="3"/>
      <x:c r="P31" s="3"/>
      <x:c r="Q31" s="3"/>
      <x:c r="R31" s="3"/>
    </x:row>
    <x:row r="32" ht="34" customHeight="1">
      <x:c r="A32" s="46"/>
      <x:c r="B32" s="46"/>
      <x:c r="C32" s="46"/>
      <x:c r="D32" s="46"/>
      <x:c r="E32" s="46"/>
      <x:c r="F32" s="46"/>
      <x:c r="G32" s="83" t="str">
        <x:f>IF(COUNTA(A32:F32)=0,"",IF(OR(A32="",B32="",C32="",NOT(ISNUMBER(D32))),"Complete element, role and minutes",IF(D32&lt;0,"Negative time - review","Valid")))</x:f>
      </x:c>
      <x:c r="H32" s="3"/>
      <x:c r="I32" s="3"/>
      <x:c r="J32" s="3"/>
      <x:c r="K32" s="3"/>
      <x:c r="L32" s="3"/>
      <x:c r="M32" s="3"/>
      <x:c r="N32" s="3"/>
      <x:c r="O32" s="3"/>
      <x:c r="P32" s="3"/>
      <x:c r="Q32" s="3"/>
      <x:c r="R32" s="3"/>
    </x:row>
    <x:row r="33" ht="34" customHeight="1">
      <x:c r="A33" s="46"/>
      <x:c r="B33" s="46"/>
      <x:c r="C33" s="46"/>
      <x:c r="D33" s="46"/>
      <x:c r="E33" s="46"/>
      <x:c r="F33" s="46"/>
      <x:c r="G33" s="83" t="str">
        <x:f>IF(COUNTA(A33:F33)=0,"",IF(OR(A33="",B33="",C33="",NOT(ISNUMBER(D33))),"Complete element, role and minutes",IF(D33&lt;0,"Negative time - review","Valid")))</x:f>
      </x:c>
      <x:c r="H33" s="3"/>
      <x:c r="I33" s="3"/>
      <x:c r="J33" s="3"/>
      <x:c r="K33" s="3"/>
      <x:c r="L33" s="3"/>
      <x:c r="M33" s="3"/>
      <x:c r="N33" s="3"/>
      <x:c r="O33" s="3"/>
      <x:c r="P33" s="3"/>
      <x:c r="Q33" s="3"/>
      <x:c r="R33" s="3"/>
    </x:row>
    <x:row r="34" ht="34" customHeight="1">
      <x:c r="A34" s="46"/>
      <x:c r="B34" s="46"/>
      <x:c r="C34" s="46"/>
      <x:c r="D34" s="46"/>
      <x:c r="E34" s="46"/>
      <x:c r="F34" s="46"/>
      <x:c r="G34" s="83" t="str">
        <x:f>IF(COUNTA(A34:F34)=0,"",IF(OR(A34="",B34="",C34="",NOT(ISNUMBER(D34))),"Complete element, role and minutes",IF(D34&lt;0,"Negative time - review","Valid")))</x:f>
      </x:c>
      <x:c r="H34" s="3"/>
      <x:c r="I34" s="3"/>
      <x:c r="J34" s="3"/>
      <x:c r="K34" s="3"/>
      <x:c r="L34" s="3"/>
      <x:c r="M34" s="3"/>
      <x:c r="N34" s="3"/>
      <x:c r="O34" s="3"/>
      <x:c r="P34" s="3"/>
      <x:c r="Q34" s="3"/>
      <x:c r="R34" s="3"/>
    </x:row>
    <x:row r="35" ht="34" customHeight="1">
      <x:c r="A35" s="46"/>
      <x:c r="B35" s="46"/>
      <x:c r="C35" s="46"/>
      <x:c r="D35" s="46"/>
      <x:c r="E35" s="46"/>
      <x:c r="F35" s="46"/>
      <x:c r="G35" s="83" t="str">
        <x:f>IF(COUNTA(A35:F35)=0,"",IF(OR(A35="",B35="",C35="",NOT(ISNUMBER(D35))),"Complete element, role and minutes",IF(D35&lt;0,"Negative time - review","Valid")))</x:f>
      </x:c>
      <x:c r="H35" s="3"/>
      <x:c r="I35" s="3"/>
      <x:c r="J35" s="3"/>
      <x:c r="K35" s="3"/>
      <x:c r="L35" s="3"/>
      <x:c r="M35" s="3"/>
      <x:c r="N35" s="3"/>
      <x:c r="O35" s="3"/>
      <x:c r="P35" s="3"/>
      <x:c r="Q35" s="3"/>
      <x:c r="R35" s="3"/>
    </x:row>
    <x:row r="36" ht="34" customHeight="1">
      <x:c r="A36" s="46"/>
      <x:c r="B36" s="46"/>
      <x:c r="C36" s="46"/>
      <x:c r="D36" s="46"/>
      <x:c r="E36" s="46"/>
      <x:c r="F36" s="46"/>
      <x:c r="G36" s="83" t="str">
        <x:f>IF(COUNTA(A36:F36)=0,"",IF(OR(A36="",B36="",C36="",NOT(ISNUMBER(D36))),"Complete element, role and minutes",IF(D36&lt;0,"Negative time - review","Valid")))</x:f>
      </x:c>
      <x:c r="H36" s="3"/>
      <x:c r="I36" s="3"/>
      <x:c r="J36" s="3"/>
      <x:c r="K36" s="3"/>
      <x:c r="L36" s="3"/>
      <x:c r="M36" s="3"/>
      <x:c r="N36" s="3"/>
      <x:c r="O36" s="3"/>
      <x:c r="P36" s="3"/>
      <x:c r="Q36" s="3"/>
      <x:c r="R36" s="3"/>
    </x:row>
    <x:row r="37" ht="34" customHeight="1">
      <x:c r="A37" s="46"/>
      <x:c r="B37" s="46"/>
      <x:c r="C37" s="46"/>
      <x:c r="D37" s="46"/>
      <x:c r="E37" s="46"/>
      <x:c r="F37" s="46"/>
      <x:c r="G37" s="83" t="str">
        <x:f>IF(COUNTA(A37:F37)=0,"",IF(OR(A37="",B37="",C37="",NOT(ISNUMBER(D37))),"Complete element, role and minutes",IF(D37&lt;0,"Negative time - review","Valid")))</x:f>
      </x:c>
      <x:c r="H37" s="3"/>
      <x:c r="I37" s="3"/>
      <x:c r="J37" s="3"/>
      <x:c r="K37" s="3"/>
      <x:c r="L37" s="3"/>
      <x:c r="M37" s="3"/>
      <x:c r="N37" s="3"/>
      <x:c r="O37" s="3"/>
      <x:c r="P37" s="3"/>
      <x:c r="Q37" s="3"/>
      <x:c r="R37" s="3"/>
    </x:row>
    <x:row r="38" ht="34" customHeight="1">
      <x:c r="A38" s="46"/>
      <x:c r="B38" s="46"/>
      <x:c r="C38" s="46"/>
      <x:c r="D38" s="46"/>
      <x:c r="E38" s="46"/>
      <x:c r="F38" s="46"/>
      <x:c r="G38" s="83" t="str">
        <x:f>IF(COUNTA(A38:F38)=0,"",IF(OR(A38="",B38="",C38="",NOT(ISNUMBER(D38))),"Complete element, role and minutes",IF(D38&lt;0,"Negative time - review","Valid")))</x:f>
      </x:c>
      <x:c r="H38" s="3"/>
      <x:c r="I38" s="3"/>
      <x:c r="J38" s="3"/>
      <x:c r="K38" s="3"/>
      <x:c r="L38" s="3"/>
      <x:c r="M38" s="3"/>
      <x:c r="N38" s="3"/>
      <x:c r="O38" s="3"/>
      <x:c r="P38" s="3"/>
      <x:c r="Q38" s="3"/>
      <x:c r="R38" s="3"/>
    </x:row>
    <x:row r="39" ht="34" customHeight="1">
      <x:c r="A39" s="46"/>
      <x:c r="B39" s="46"/>
      <x:c r="C39" s="46"/>
      <x:c r="D39" s="46"/>
      <x:c r="E39" s="46"/>
      <x:c r="F39" s="46"/>
      <x:c r="G39" s="83" t="str">
        <x:f>IF(COUNTA(A39:F39)=0,"",IF(OR(A39="",B39="",C39="",NOT(ISNUMBER(D39))),"Complete element, role and minutes",IF(D39&lt;0,"Negative time - review","Valid")))</x:f>
      </x:c>
      <x:c r="H39" s="3"/>
      <x:c r="I39" s="3"/>
      <x:c r="J39" s="3"/>
      <x:c r="K39" s="3"/>
      <x:c r="L39" s="3"/>
      <x:c r="M39" s="3"/>
      <x:c r="N39" s="3"/>
      <x:c r="O39" s="3"/>
      <x:c r="P39" s="3"/>
      <x:c r="Q39" s="3"/>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20" customHeight="1">
      <x:c r="A42" s="3"/>
      <x:c r="B42" s="3"/>
      <x:c r="C42" s="3"/>
      <x:c r="D42" s="3"/>
      <x:c r="E42" s="3"/>
      <x:c r="F42" s="3"/>
      <x:c r="G42" s="3"/>
      <x:c r="H42" s="3"/>
      <x:c r="I42" s="3"/>
      <x:c r="J42" s="3"/>
      <x:c r="K42" s="3"/>
      <x:c r="L42" s="3"/>
      <x:c r="M42" s="3"/>
      <x:c r="N42" s="3"/>
      <x:c r="O42" s="3"/>
      <x:c r="P42" s="3"/>
      <x:c r="Q42" s="3"/>
      <x:c r="R42" s="3"/>
    </x:row>
    <x:row r="43" ht="20" customHeight="1">
      <x:c r="A43" s="17" t="str">
        <x:v>Work-element sums depend on valid non-negative minutes and consistent role labels. Review overlap, skill constraints and system waiting; do not infer staffing requirements from a total alone. The takt reference links to L01 and remains blank until entered.</x:v>
      </x:c>
      <x:c r="B43" s="17"/>
      <x:c r="C43" s="17"/>
      <x:c r="D43" s="17"/>
      <x:c r="E43" s="17"/>
      <x:c r="F43" s="17"/>
      <x:c r="G43" s="17"/>
      <x:c r="H43" s="17"/>
      <x:c r="I43" s="17"/>
      <x:c r="J43" s="17"/>
      <x:c r="K43" s="17"/>
      <x:c r="L43" s="17"/>
      <x:c r="M43" s="3"/>
      <x:c r="N43" s="3"/>
      <x:c r="O43" s="3"/>
      <x:c r="P43" s="3"/>
      <x:c r="Q43" s="3"/>
      <x:c r="R43" s="3"/>
    </x:row>
    <x:row r="44" ht="20" customHeight="1">
      <x:c r="A44" s="17"/>
      <x:c r="B44" s="17"/>
      <x:c r="C44" s="17"/>
      <x:c r="D44" s="17"/>
      <x:c r="E44" s="17"/>
      <x:c r="F44" s="17"/>
      <x:c r="G44" s="17"/>
      <x:c r="H44" s="17"/>
      <x:c r="I44" s="17"/>
      <x:c r="J44" s="17"/>
      <x:c r="K44" s="17"/>
      <x:c r="L44" s="17"/>
      <x:c r="M44" s="3"/>
      <x:c r="N44" s="3"/>
      <x:c r="O44" s="3"/>
      <x:c r="P44" s="3"/>
      <x:c r="Q44" s="3"/>
      <x:c r="R44" s="3"/>
    </x:row>
    <x:row r="45" ht="20" customHeight="1">
      <x:c r="A45" s="17"/>
      <x:c r="B45" s="17"/>
      <x:c r="C45" s="17"/>
      <x:c r="D45" s="17"/>
      <x:c r="E45" s="17"/>
      <x:c r="F45" s="17"/>
      <x:c r="G45" s="17"/>
      <x:c r="H45" s="17"/>
      <x:c r="I45" s="17"/>
      <x:c r="J45" s="17"/>
      <x:c r="K45" s="17"/>
      <x:c r="L45" s="17"/>
      <x:c r="M45" s="3"/>
      <x:c r="N45" s="3"/>
      <x:c r="O45" s="3"/>
      <x:c r="P45" s="3"/>
      <x:c r="Q45" s="3"/>
      <x:c r="R45" s="3"/>
    </x:row>
    <x:row r="46" ht="20" customHeight="1">
      <x:c r="A46" s="17"/>
      <x:c r="B46" s="17"/>
      <x:c r="C46" s="17"/>
      <x:c r="D46" s="17"/>
      <x:c r="E46" s="17"/>
      <x:c r="F46" s="17"/>
      <x:c r="G46" s="17"/>
      <x:c r="H46" s="17"/>
      <x:c r="I46" s="17"/>
      <x:c r="J46" s="17"/>
      <x:c r="K46" s="17"/>
      <x:c r="L46" s="17"/>
      <x:c r="M46" s="3"/>
      <x:c r="N46" s="3"/>
      <x:c r="O46" s="3"/>
      <x:c r="P46" s="3"/>
      <x:c r="Q46" s="3"/>
      <x:c r="R46" s="3"/>
    </x:row>
    <x:row r="47" ht="20" customHeight="1">
      <x:c r="A47" s="17"/>
      <x:c r="B47" s="17"/>
      <x:c r="C47" s="17"/>
      <x:c r="D47" s="17"/>
      <x:c r="E47" s="17"/>
      <x:c r="F47" s="17"/>
      <x:c r="G47" s="17"/>
      <x:c r="H47" s="17"/>
      <x:c r="I47" s="17"/>
      <x:c r="J47" s="17"/>
      <x:c r="K47" s="17"/>
      <x:c r="L47" s="17"/>
      <x:c r="M47" s="3"/>
      <x:c r="N47" s="3"/>
      <x:c r="O47" s="3"/>
      <x:c r="P47" s="3"/>
      <x:c r="Q47" s="3"/>
      <x:c r="R47" s="3"/>
    </x:row>
    <x:row r="48" ht="20" customHeight="1">
      <x:c r="A48" s="3"/>
      <x:c r="B48" s="3"/>
      <x:c r="C48" s="3"/>
      <x:c r="D48" s="3"/>
      <x:c r="E48" s="3"/>
      <x:c r="F48" s="3"/>
      <x:c r="G48" s="3"/>
      <x:c r="H48" s="3"/>
      <x:c r="I48" s="3"/>
      <x:c r="J48" s="3"/>
      <x:c r="K48" s="3"/>
      <x:c r="L48" s="3"/>
      <x:c r="M48" s="3"/>
      <x:c r="N48" s="3"/>
      <x:c r="O48" s="3"/>
      <x:c r="P48" s="3"/>
      <x:c r="Q48" s="3"/>
      <x:c r="R48" s="3"/>
    </x:row>
    <x:row r="49" ht="20" customHeight="1">
      <x:c r="A49" s="3"/>
      <x:c r="B49" s="3"/>
      <x:c r="C49" s="3"/>
      <x:c r="D49" s="3"/>
      <x:c r="E49" s="3"/>
      <x:c r="F49" s="3"/>
      <x:c r="G49" s="3"/>
      <x:c r="H49" s="3"/>
      <x:c r="I49" s="3"/>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F07</x:v>
      </x:c>
      <x:c r="B110" s="34"/>
      <x:c r="C110" s="34"/>
      <x:c r="D110" s="34"/>
      <x:c r="E110" s="34"/>
      <x:c r="F110" s="34"/>
      <x:c r="G110" s="34"/>
      <x:c r="H110" s="34"/>
      <x:c r="I110" s="34"/>
      <x:c r="J110" s="34"/>
      <x:c r="K110" s="34"/>
      <x:c r="L110" s="34"/>
      <x:c r="M110" s="3"/>
      <x:c r="N110" s="3"/>
      <x:c r="O110" s="3"/>
      <x:c r="P110" s="3"/>
      <x:c r="Q110" s="3"/>
      <x:c r="R110" s="3"/>
    </x:row>
    <x:row r="111" ht="20" customHeight="1">
      <x:c r="A111" s="40" t="str">
        <x:v>01  Work family and pace</x:v>
      </x:c>
      <x:c r="B111" s="40"/>
      <x:c r="C111" s="40"/>
      <x:c r="D111" s="17" t="str">
        <x:v>Define the task and reference.</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Work elements</x:v>
      </x:c>
      <x:c r="B117" s="40"/>
      <x:c r="C117" s="40"/>
      <x:c r="D117" s="17" t="str">
        <x:v>Record activity, duration and evidence.</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Role allocation</x:v>
      </x:c>
      <x:c r="B123" s="40"/>
      <x:c r="C123" s="40"/>
      <x:c r="D123" s="17" t="str">
        <x:v>Show current assignment and constraints.</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Balance and constraint</x:v>
      </x:c>
      <x:c r="B129" s="40"/>
      <x:c r="C129" s="40"/>
      <x:c r="D129" s="17" t="str">
        <x:v>Compare content with the reference.</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Redesign hypothesis</x:v>
      </x:c>
      <x:c r="B135" s="40"/>
      <x:c r="C135" s="40"/>
      <x:c r="D135" s="17" t="str">
        <x:v>Identify a safe change.</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Test and review</x:v>
      </x:c>
      <x:c r="B141" s="40"/>
      <x:c r="C141" s="40"/>
      <x:c r="D141" s="17" t="str">
        <x:v>Examine the whole system after change.</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Do not balance work by assuming all people and tasks are interchangeable. Averages hide complexity and interruption. The chart supports redesign discussion, not a headcount reduction formula.</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M07, F03, L01  |  METHOD SOURCES: U03, R25, R20</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 ref="A43:L47"/>
  </x:mergeCells>
  <x:dataValidations count="1">
    <x:dataValidation type="list" sqref="E10:E39">
      <x:formula1>"Manual work,System wait,Required check,Other"</x:formula1>
    </x:dataValidation>
  </x:dataValidations>
  <x:pageMargins left="0.7" right="0.7" top="0.75" bottom="0.75" header="0.3" footer="0.3"/>
  <x:drawing xmlns:r="http://schemas.openxmlformats.org/officeDocument/2006/relationships" r:id="R3ca2c13853464922"/>
</x:worksheet>
</file>

<file path=xl/worksheets/sheet71.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33" hidden="0" customWidth="1"/>
    <x:col min="2" max="2" width="19" hidden="0" customWidth="1"/>
    <x:col min="3" max="3" width="24" hidden="0" customWidth="1"/>
    <x:col min="4" max="4" width="42" hidden="0" customWidth="1"/>
    <x:col min="5" max="5" width="19" hidden="0" customWidth="1"/>
    <x:col min="6" max="6" width="18" hidden="0" customWidth="1"/>
    <x:col min="7" max="7" width="42"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F08  Changeover and setup reduction</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Reduce the effort of switching work types using a labelled service adaptation of SMED.</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Activity</x:v>
      </x:c>
      <x:c r="B9" s="77" t="str">
        <x:v>Before minutes</x:v>
      </x:c>
      <x:c r="C9" s="77" t="str">
        <x:v>Internal / external</x:v>
      </x:c>
      <x:c r="D9" s="77" t="str">
        <x:v>Proposed change</x:v>
      </x:c>
      <x:c r="E9" s="77" t="str">
        <x:v>After minutes</x:v>
      </x:c>
      <x:c r="F9" s="77" t="str">
        <x:v>Difference</x:v>
      </x:c>
      <x:c r="G9" s="77" t="str">
        <x:v>Evidence</x:v>
      </x:c>
      <x:c r="H9" s="3"/>
      <x:c r="I9" s="3"/>
      <x:c r="J9" s="3"/>
      <x:c r="K9" s="3"/>
      <x:c r="L9" s="3"/>
      <x:c r="M9" s="3"/>
      <x:c r="N9" s="3"/>
      <x:c r="O9" s="3"/>
      <x:c r="P9" s="3"/>
      <x:c r="Q9" s="3"/>
      <x:c r="R9" s="3"/>
    </x:row>
    <x:row r="10" ht="34" customHeight="1">
      <x:c r="A10" s="46"/>
      <x:c r="B10" s="46"/>
      <x:c r="C10" s="46"/>
      <x:c r="D10" s="46"/>
      <x:c r="E10" s="46"/>
      <x:c r="F10" s="83" t="str">
        <x:f>IF(A10="","",IF(AND(COUNT(B10,E10)=2,B10&gt;=0,E10&gt;=0),E10-B10,""))</x:f>
      </x:c>
      <x:c r="G10" s="46"/>
      <x:c r="H10" s="3"/>
      <x:c r="I10" s="3"/>
      <x:c r="J10" s="3"/>
      <x:c r="K10" s="3"/>
      <x:c r="L10" s="3"/>
      <x:c r="M10" s="3"/>
      <x:c r="N10" s="3"/>
      <x:c r="O10" s="3"/>
      <x:c r="P10" s="3"/>
      <x:c r="Q10" s="3"/>
      <x:c r="R10" s="3"/>
    </x:row>
    <x:row r="11" ht="34" customHeight="1">
      <x:c r="A11" s="46"/>
      <x:c r="B11" s="46"/>
      <x:c r="C11" s="46"/>
      <x:c r="D11" s="46"/>
      <x:c r="E11" s="46"/>
      <x:c r="F11" s="83" t="str">
        <x:f>IF(A11="","",IF(AND(COUNT(B11,E11)=2,B11&gt;=0,E11&gt;=0),E11-B11,""))</x:f>
      </x:c>
      <x:c r="G11" s="46"/>
      <x:c r="H11" s="3"/>
      <x:c r="I11" s="3"/>
      <x:c r="J11" s="3"/>
      <x:c r="K11" s="3"/>
      <x:c r="L11" s="3"/>
      <x:c r="M11" s="3"/>
      <x:c r="N11" s="3"/>
      <x:c r="O11" s="3"/>
      <x:c r="P11" s="3"/>
      <x:c r="Q11" s="3"/>
      <x:c r="R11" s="3"/>
    </x:row>
    <x:row r="12" ht="34" customHeight="1">
      <x:c r="A12" s="46"/>
      <x:c r="B12" s="46"/>
      <x:c r="C12" s="46"/>
      <x:c r="D12" s="46"/>
      <x:c r="E12" s="46"/>
      <x:c r="F12" s="83" t="str">
        <x:f>IF(A12="","",IF(AND(COUNT(B12,E12)=2,B12&gt;=0,E12&gt;=0),E12-B12,""))</x:f>
      </x:c>
      <x:c r="G12" s="46"/>
      <x:c r="H12" s="3"/>
      <x:c r="I12" s="3"/>
      <x:c r="J12" s="3"/>
      <x:c r="K12" s="3"/>
      <x:c r="L12" s="3"/>
      <x:c r="M12" s="3"/>
      <x:c r="N12" s="3"/>
      <x:c r="O12" s="3"/>
      <x:c r="P12" s="3"/>
      <x:c r="Q12" s="3"/>
      <x:c r="R12" s="3"/>
    </x:row>
    <x:row r="13" ht="34" customHeight="1">
      <x:c r="A13" s="46"/>
      <x:c r="B13" s="46"/>
      <x:c r="C13" s="46"/>
      <x:c r="D13" s="46"/>
      <x:c r="E13" s="46"/>
      <x:c r="F13" s="83" t="str">
        <x:f>IF(A13="","",IF(AND(COUNT(B13,E13)=2,B13&gt;=0,E13&gt;=0),E13-B13,""))</x:f>
      </x:c>
      <x:c r="G13" s="46"/>
      <x:c r="H13" s="3"/>
      <x:c r="I13" s="3"/>
      <x:c r="J13" s="3"/>
      <x:c r="K13" s="3"/>
      <x:c r="L13" s="3"/>
      <x:c r="M13" s="3"/>
      <x:c r="N13" s="3"/>
      <x:c r="O13" s="3"/>
      <x:c r="P13" s="3"/>
      <x:c r="Q13" s="3"/>
      <x:c r="R13" s="3"/>
    </x:row>
    <x:row r="14" ht="34" customHeight="1">
      <x:c r="A14" s="46"/>
      <x:c r="B14" s="46"/>
      <x:c r="C14" s="46"/>
      <x:c r="D14" s="46"/>
      <x:c r="E14" s="46"/>
      <x:c r="F14" s="83" t="str">
        <x:f>IF(A14="","",IF(AND(COUNT(B14,E14)=2,B14&gt;=0,E14&gt;=0),E14-B14,""))</x:f>
      </x:c>
      <x:c r="G14" s="46"/>
      <x:c r="H14" s="3"/>
      <x:c r="I14" s="3"/>
      <x:c r="J14" s="3"/>
      <x:c r="K14" s="3"/>
      <x:c r="L14" s="3"/>
      <x:c r="M14" s="3"/>
      <x:c r="N14" s="3"/>
      <x:c r="O14" s="3"/>
      <x:c r="P14" s="3"/>
      <x:c r="Q14" s="3"/>
      <x:c r="R14" s="3"/>
    </x:row>
    <x:row r="15" ht="34" customHeight="1">
      <x:c r="A15" s="46"/>
      <x:c r="B15" s="46"/>
      <x:c r="C15" s="46"/>
      <x:c r="D15" s="46"/>
      <x:c r="E15" s="46"/>
      <x:c r="F15" s="83" t="str">
        <x:f>IF(A15="","",IF(AND(COUNT(B15,E15)=2,B15&gt;=0,E15&gt;=0),E15-B15,""))</x:f>
      </x:c>
      <x:c r="G15" s="46"/>
      <x:c r="H15" s="3"/>
      <x:c r="I15" s="3"/>
      <x:c r="J15" s="3"/>
      <x:c r="K15" s="3"/>
      <x:c r="L15" s="3"/>
      <x:c r="M15" s="3"/>
      <x:c r="N15" s="3"/>
      <x:c r="O15" s="3"/>
      <x:c r="P15" s="3"/>
      <x:c r="Q15" s="3"/>
      <x:c r="R15" s="3"/>
    </x:row>
    <x:row r="16" ht="34" customHeight="1">
      <x:c r="A16" s="46"/>
      <x:c r="B16" s="46"/>
      <x:c r="C16" s="46"/>
      <x:c r="D16" s="46"/>
      <x:c r="E16" s="46"/>
      <x:c r="F16" s="83" t="str">
        <x:f>IF(A16="","",IF(AND(COUNT(B16,E16)=2,B16&gt;=0,E16&gt;=0),E16-B16,""))</x:f>
      </x:c>
      <x:c r="G16" s="46"/>
      <x:c r="H16" s="3"/>
      <x:c r="I16" s="3"/>
      <x:c r="J16" s="3"/>
      <x:c r="K16" s="3"/>
      <x:c r="L16" s="3"/>
      <x:c r="M16" s="3"/>
      <x:c r="N16" s="3"/>
      <x:c r="O16" s="3"/>
      <x:c r="P16" s="3"/>
      <x:c r="Q16" s="3"/>
      <x:c r="R16" s="3"/>
    </x:row>
    <x:row r="17" ht="34" customHeight="1">
      <x:c r="A17" s="46"/>
      <x:c r="B17" s="46"/>
      <x:c r="C17" s="46"/>
      <x:c r="D17" s="46"/>
      <x:c r="E17" s="46"/>
      <x:c r="F17" s="83" t="str">
        <x:f>IF(A17="","",IF(AND(COUNT(B17,E17)=2,B17&gt;=0,E17&gt;=0),E17-B17,""))</x:f>
      </x:c>
      <x:c r="G17" s="46"/>
      <x:c r="H17" s="3"/>
      <x:c r="I17" s="3"/>
      <x:c r="J17" s="3"/>
      <x:c r="K17" s="3"/>
      <x:c r="L17" s="3"/>
      <x:c r="M17" s="3"/>
      <x:c r="N17" s="3"/>
      <x:c r="O17" s="3"/>
      <x:c r="P17" s="3"/>
      <x:c r="Q17" s="3"/>
      <x:c r="R17" s="3"/>
    </x:row>
    <x:row r="18" ht="34" customHeight="1">
      <x:c r="A18" s="46"/>
      <x:c r="B18" s="46"/>
      <x:c r="C18" s="46"/>
      <x:c r="D18" s="46"/>
      <x:c r="E18" s="46"/>
      <x:c r="F18" s="83" t="str">
        <x:f>IF(A18="","",IF(AND(COUNT(B18,E18)=2,B18&gt;=0,E18&gt;=0),E18-B18,""))</x:f>
      </x:c>
      <x:c r="G18" s="46"/>
      <x:c r="H18" s="3"/>
      <x:c r="I18" s="3"/>
      <x:c r="J18" s="3"/>
      <x:c r="K18" s="3"/>
      <x:c r="L18" s="3"/>
      <x:c r="M18" s="3"/>
      <x:c r="N18" s="3"/>
      <x:c r="O18" s="3"/>
      <x:c r="P18" s="3"/>
      <x:c r="Q18" s="3"/>
      <x:c r="R18" s="3"/>
    </x:row>
    <x:row r="19" ht="34" customHeight="1">
      <x:c r="A19" s="46"/>
      <x:c r="B19" s="46"/>
      <x:c r="C19" s="46"/>
      <x:c r="D19" s="46"/>
      <x:c r="E19" s="46"/>
      <x:c r="F19" s="83" t="str">
        <x:f>IF(A19="","",IF(AND(COUNT(B19,E19)=2,B19&gt;=0,E19&gt;=0),E19-B19,""))</x:f>
      </x:c>
      <x:c r="G19" s="46"/>
      <x:c r="H19" s="3"/>
      <x:c r="I19" s="3"/>
      <x:c r="J19" s="3"/>
      <x:c r="K19" s="3"/>
      <x:c r="L19" s="3"/>
      <x:c r="M19" s="3"/>
      <x:c r="N19" s="3"/>
      <x:c r="O19" s="3"/>
      <x:c r="P19" s="3"/>
      <x:c r="Q19" s="3"/>
      <x:c r="R19" s="3"/>
    </x:row>
    <x:row r="20" ht="34" customHeight="1">
      <x:c r="A20" s="46"/>
      <x:c r="B20" s="46"/>
      <x:c r="C20" s="46"/>
      <x:c r="D20" s="46"/>
      <x:c r="E20" s="46"/>
      <x:c r="F20" s="83" t="str">
        <x:f>IF(A20="","",IF(AND(COUNT(B20,E20)=2,B20&gt;=0,E20&gt;=0),E20-B20,""))</x:f>
      </x:c>
      <x:c r="G20" s="46"/>
      <x:c r="H20" s="3"/>
      <x:c r="I20" s="3"/>
      <x:c r="J20" s="3"/>
      <x:c r="K20" s="3"/>
      <x:c r="L20" s="3"/>
      <x:c r="M20" s="3"/>
      <x:c r="N20" s="3"/>
      <x:c r="O20" s="3"/>
      <x:c r="P20" s="3"/>
      <x:c r="Q20" s="3"/>
      <x:c r="R20" s="3"/>
    </x:row>
    <x:row r="21" ht="34" customHeight="1">
      <x:c r="A21" s="46"/>
      <x:c r="B21" s="46"/>
      <x:c r="C21" s="46"/>
      <x:c r="D21" s="46"/>
      <x:c r="E21" s="46"/>
      <x:c r="F21" s="83" t="str">
        <x:f>IF(A21="","",IF(AND(COUNT(B21,E21)=2,B21&gt;=0,E21&gt;=0),E21-B21,""))</x:f>
      </x:c>
      <x:c r="G21" s="46"/>
      <x:c r="H21" s="3"/>
      <x:c r="I21" s="3"/>
      <x:c r="J21" s="3"/>
      <x:c r="K21" s="3"/>
      <x:c r="L21" s="3"/>
      <x:c r="M21" s="3"/>
      <x:c r="N21" s="3"/>
      <x:c r="O21" s="3"/>
      <x:c r="P21" s="3"/>
      <x:c r="Q21" s="3"/>
      <x:c r="R21" s="3"/>
    </x:row>
    <x:row r="22" ht="34" customHeight="1">
      <x:c r="A22" s="46"/>
      <x:c r="B22" s="46"/>
      <x:c r="C22" s="46"/>
      <x:c r="D22" s="46"/>
      <x:c r="E22" s="46"/>
      <x:c r="F22" s="83" t="str">
        <x:f>IF(A22="","",IF(AND(COUNT(B22,E22)=2,B22&gt;=0,E22&gt;=0),E22-B22,""))</x:f>
      </x:c>
      <x:c r="G22" s="46"/>
      <x:c r="H22" s="3"/>
      <x:c r="I22" s="3"/>
      <x:c r="J22" s="3"/>
      <x:c r="K22" s="3"/>
      <x:c r="L22" s="3"/>
      <x:c r="M22" s="3"/>
      <x:c r="N22" s="3"/>
      <x:c r="O22" s="3"/>
      <x:c r="P22" s="3"/>
      <x:c r="Q22" s="3"/>
      <x:c r="R22" s="3"/>
    </x:row>
    <x:row r="23" ht="34" customHeight="1">
      <x:c r="A23" s="46"/>
      <x:c r="B23" s="46"/>
      <x:c r="C23" s="46"/>
      <x:c r="D23" s="46"/>
      <x:c r="E23" s="46"/>
      <x:c r="F23" s="83" t="str">
        <x:f>IF(A23="","",IF(AND(COUNT(B23,E23)=2,B23&gt;=0,E23&gt;=0),E23-B23,""))</x:f>
      </x:c>
      <x:c r="G23" s="46"/>
      <x:c r="H23" s="3"/>
      <x:c r="I23" s="3"/>
      <x:c r="J23" s="3"/>
      <x:c r="K23" s="3"/>
      <x:c r="L23" s="3"/>
      <x:c r="M23" s="3"/>
      <x:c r="N23" s="3"/>
      <x:c r="O23" s="3"/>
      <x:c r="P23" s="3"/>
      <x:c r="Q23" s="3"/>
      <x:c r="R23" s="3"/>
    </x:row>
    <x:row r="24" ht="34" customHeight="1">
      <x:c r="A24" s="46"/>
      <x:c r="B24" s="46"/>
      <x:c r="C24" s="46"/>
      <x:c r="D24" s="46"/>
      <x:c r="E24" s="46"/>
      <x:c r="F24" s="83" t="str">
        <x:f>IF(A24="","",IF(AND(COUNT(B24,E24)=2,B24&gt;=0,E24&gt;=0),E24-B24,""))</x:f>
      </x:c>
      <x:c r="G24" s="46"/>
      <x:c r="H24" s="3"/>
      <x:c r="I24" s="3"/>
      <x:c r="J24" s="3"/>
      <x:c r="K24" s="3"/>
      <x:c r="L24" s="3"/>
      <x:c r="M24" s="3"/>
      <x:c r="N24" s="3"/>
      <x:c r="O24" s="3"/>
      <x:c r="P24" s="3"/>
      <x:c r="Q24" s="3"/>
      <x:c r="R24" s="3"/>
    </x:row>
    <x:row r="25" ht="34" customHeight="1">
      <x:c r="A25" s="46"/>
      <x:c r="B25" s="46"/>
      <x:c r="C25" s="46"/>
      <x:c r="D25" s="46"/>
      <x:c r="E25" s="46"/>
      <x:c r="F25" s="83" t="str">
        <x:f>IF(A25="","",IF(AND(COUNT(B25,E25)=2,B25&gt;=0,E25&gt;=0),E25-B25,""))</x:f>
      </x:c>
      <x:c r="G25" s="46"/>
      <x:c r="H25" s="3"/>
      <x:c r="I25" s="3"/>
      <x:c r="J25" s="3"/>
      <x:c r="K25" s="3"/>
      <x:c r="L25" s="3"/>
      <x:c r="M25" s="3"/>
      <x:c r="N25" s="3"/>
      <x:c r="O25" s="3"/>
      <x:c r="P25" s="3"/>
      <x:c r="Q25" s="3"/>
      <x:c r="R25" s="3"/>
    </x:row>
    <x:row r="26" ht="34" customHeight="1">
      <x:c r="A26" s="46"/>
      <x:c r="B26" s="46"/>
      <x:c r="C26" s="46"/>
      <x:c r="D26" s="46"/>
      <x:c r="E26" s="46"/>
      <x:c r="F26" s="83" t="str">
        <x:f>IF(A26="","",IF(AND(COUNT(B26,E26)=2,B26&gt;=0,E26&gt;=0),E26-B26,""))</x:f>
      </x:c>
      <x:c r="G26" s="46"/>
      <x:c r="H26" s="3"/>
      <x:c r="I26" s="3"/>
      <x:c r="J26" s="3"/>
      <x:c r="K26" s="3"/>
      <x:c r="L26" s="3"/>
      <x:c r="M26" s="3"/>
      <x:c r="N26" s="3"/>
      <x:c r="O26" s="3"/>
      <x:c r="P26" s="3"/>
      <x:c r="Q26" s="3"/>
      <x:c r="R26" s="3"/>
    </x:row>
    <x:row r="27" ht="34" customHeight="1">
      <x:c r="A27" s="46"/>
      <x:c r="B27" s="46"/>
      <x:c r="C27" s="46"/>
      <x:c r="D27" s="46"/>
      <x:c r="E27" s="46"/>
      <x:c r="F27" s="83" t="str">
        <x:f>IF(A27="","",IF(AND(COUNT(B27,E27)=2,B27&gt;=0,E27&gt;=0),E27-B27,""))</x:f>
      </x:c>
      <x:c r="G27" s="46"/>
      <x:c r="H27" s="3"/>
      <x:c r="I27" s="3"/>
      <x:c r="J27" s="3"/>
      <x:c r="K27" s="3"/>
      <x:c r="L27" s="3"/>
      <x:c r="M27" s="3"/>
      <x:c r="N27" s="3"/>
      <x:c r="O27" s="3"/>
      <x:c r="P27" s="3"/>
      <x:c r="Q27" s="3"/>
      <x:c r="R27" s="3"/>
    </x:row>
    <x:row r="28" ht="34" customHeight="1">
      <x:c r="A28" s="46"/>
      <x:c r="B28" s="46"/>
      <x:c r="C28" s="46"/>
      <x:c r="D28" s="46"/>
      <x:c r="E28" s="46"/>
      <x:c r="F28" s="83" t="str">
        <x:f>IF(A28="","",IF(AND(COUNT(B28,E28)=2,B28&gt;=0,E28&gt;=0),E28-B28,""))</x:f>
      </x:c>
      <x:c r="G28" s="46"/>
      <x:c r="H28" s="3"/>
      <x:c r="I28" s="3"/>
      <x:c r="J28" s="3"/>
      <x:c r="K28" s="3"/>
      <x:c r="L28" s="3"/>
      <x:c r="M28" s="3"/>
      <x:c r="N28" s="3"/>
      <x:c r="O28" s="3"/>
      <x:c r="P28" s="3"/>
      <x:c r="Q28" s="3"/>
      <x:c r="R28" s="3"/>
    </x:row>
    <x:row r="29" ht="34" customHeight="1">
      <x:c r="A29" s="46"/>
      <x:c r="B29" s="46"/>
      <x:c r="C29" s="46"/>
      <x:c r="D29" s="46"/>
      <x:c r="E29" s="46"/>
      <x:c r="F29" s="83" t="str">
        <x:f>IF(A29="","",IF(AND(COUNT(B29,E29)=2,B29&gt;=0,E29&gt;=0),E29-B29,""))</x:f>
      </x:c>
      <x:c r="G29" s="46"/>
      <x:c r="H29" s="3"/>
      <x:c r="I29" s="3"/>
      <x:c r="J29" s="3"/>
      <x:c r="K29" s="3"/>
      <x:c r="L29" s="3"/>
      <x:c r="M29" s="3"/>
      <x:c r="N29" s="3"/>
      <x:c r="O29" s="3"/>
      <x:c r="P29" s="3"/>
      <x:c r="Q29" s="3"/>
      <x:c r="R29" s="3"/>
    </x:row>
    <x:row r="30" ht="34" customHeight="1">
      <x:c r="A30" s="46"/>
      <x:c r="B30" s="46"/>
      <x:c r="C30" s="46"/>
      <x:c r="D30" s="46"/>
      <x:c r="E30" s="46"/>
      <x:c r="F30" s="83" t="str">
        <x:f>IF(A30="","",IF(AND(COUNT(B30,E30)=2,B30&gt;=0,E30&gt;=0),E30-B30,""))</x:f>
      </x:c>
      <x:c r="G30" s="46"/>
      <x:c r="H30" s="3"/>
      <x:c r="I30" s="3"/>
      <x:c r="J30" s="3"/>
      <x:c r="K30" s="3"/>
      <x:c r="L30" s="3"/>
      <x:c r="M30" s="3"/>
      <x:c r="N30" s="3"/>
      <x:c r="O30" s="3"/>
      <x:c r="P30" s="3"/>
      <x:c r="Q30" s="3"/>
      <x:c r="R30" s="3"/>
    </x:row>
    <x:row r="31" ht="34" customHeight="1">
      <x:c r="A31" s="46"/>
      <x:c r="B31" s="46"/>
      <x:c r="C31" s="46"/>
      <x:c r="D31" s="46"/>
      <x:c r="E31" s="46"/>
      <x:c r="F31" s="83" t="str">
        <x:f>IF(A31="","",IF(AND(COUNT(B31,E31)=2,B31&gt;=0,E31&gt;=0),E31-B31,""))</x:f>
      </x:c>
      <x:c r="G31" s="46"/>
      <x:c r="H31" s="3"/>
      <x:c r="I31" s="3"/>
      <x:c r="J31" s="3"/>
      <x:c r="K31" s="3"/>
      <x:c r="L31" s="3"/>
      <x:c r="M31" s="3"/>
      <x:c r="N31" s="3"/>
      <x:c r="O31" s="3"/>
      <x:c r="P31" s="3"/>
      <x:c r="Q31" s="3"/>
      <x:c r="R31" s="3"/>
    </x:row>
    <x:row r="32" ht="34" customHeight="1">
      <x:c r="A32" s="46"/>
      <x:c r="B32" s="46"/>
      <x:c r="C32" s="46"/>
      <x:c r="D32" s="46"/>
      <x:c r="E32" s="46"/>
      <x:c r="F32" s="83" t="str">
        <x:f>IF(A32="","",IF(AND(COUNT(B32,E32)=2,B32&gt;=0,E32&gt;=0),E32-B32,""))</x:f>
      </x:c>
      <x:c r="G32" s="46"/>
      <x:c r="H32" s="3"/>
      <x:c r="I32" s="3"/>
      <x:c r="J32" s="3"/>
      <x:c r="K32" s="3"/>
      <x:c r="L32" s="3"/>
      <x:c r="M32" s="3"/>
      <x:c r="N32" s="3"/>
      <x:c r="O32" s="3"/>
      <x:c r="P32" s="3"/>
      <x:c r="Q32" s="3"/>
      <x:c r="R32" s="3"/>
    </x:row>
    <x:row r="33" ht="34" customHeight="1">
      <x:c r="A33" s="46"/>
      <x:c r="B33" s="46"/>
      <x:c r="C33" s="46"/>
      <x:c r="D33" s="46"/>
      <x:c r="E33" s="46"/>
      <x:c r="F33" s="83" t="str">
        <x:f>IF(A33="","",IF(AND(COUNT(B33,E33)=2,B33&gt;=0,E33&gt;=0),E33-B33,""))</x:f>
      </x:c>
      <x:c r="G33" s="46"/>
      <x:c r="H33" s="3"/>
      <x:c r="I33" s="3"/>
      <x:c r="J33" s="3"/>
      <x:c r="K33" s="3"/>
      <x:c r="L33" s="3"/>
      <x:c r="M33" s="3"/>
      <x:c r="N33" s="3"/>
      <x:c r="O33" s="3"/>
      <x:c r="P33" s="3"/>
      <x:c r="Q33" s="3"/>
      <x:c r="R33" s="3"/>
    </x:row>
    <x:row r="34" ht="34" customHeight="1">
      <x:c r="A34" s="46"/>
      <x:c r="B34" s="46"/>
      <x:c r="C34" s="46"/>
      <x:c r="D34" s="46"/>
      <x:c r="E34" s="46"/>
      <x:c r="F34" s="83" t="str">
        <x:f>IF(A34="","",IF(AND(COUNT(B34,E34)=2,B34&gt;=0,E34&gt;=0),E34-B34,""))</x:f>
      </x:c>
      <x:c r="G34" s="46"/>
      <x:c r="H34" s="3"/>
      <x:c r="I34" s="3"/>
      <x:c r="J34" s="3"/>
      <x:c r="K34" s="3"/>
      <x:c r="L34" s="3"/>
      <x:c r="M34" s="3"/>
      <x:c r="N34" s="3"/>
      <x:c r="O34" s="3"/>
      <x:c r="P34" s="3"/>
      <x:c r="Q34" s="3"/>
      <x:c r="R34" s="3"/>
    </x:row>
    <x:row r="35" ht="34" customHeight="1">
      <x:c r="A35" s="46"/>
      <x:c r="B35" s="46"/>
      <x:c r="C35" s="46"/>
      <x:c r="D35" s="46"/>
      <x:c r="E35" s="46"/>
      <x:c r="F35" s="83" t="str">
        <x:f>IF(A35="","",IF(AND(COUNT(B35,E35)=2,B35&gt;=0,E35&gt;=0),E35-B35,""))</x:f>
      </x:c>
      <x:c r="G35" s="46"/>
      <x:c r="H35" s="3"/>
      <x:c r="I35" s="3"/>
      <x:c r="J35" s="3"/>
      <x:c r="K35" s="3"/>
      <x:c r="L35" s="3"/>
      <x:c r="M35" s="3"/>
      <x:c r="N35" s="3"/>
      <x:c r="O35" s="3"/>
      <x:c r="P35" s="3"/>
      <x:c r="Q35" s="3"/>
      <x:c r="R35" s="3"/>
    </x:row>
    <x:row r="36" ht="34" customHeight="1">
      <x:c r="A36" s="46"/>
      <x:c r="B36" s="46"/>
      <x:c r="C36" s="46"/>
      <x:c r="D36" s="46"/>
      <x:c r="E36" s="46"/>
      <x:c r="F36" s="83" t="str">
        <x:f>IF(A36="","",IF(AND(COUNT(B36,E36)=2,B36&gt;=0,E36&gt;=0),E36-B36,""))</x:f>
      </x:c>
      <x:c r="G36" s="46"/>
      <x:c r="H36" s="3"/>
      <x:c r="I36" s="3"/>
      <x:c r="J36" s="3"/>
      <x:c r="K36" s="3"/>
      <x:c r="L36" s="3"/>
      <x:c r="M36" s="3"/>
      <x:c r="N36" s="3"/>
      <x:c r="O36" s="3"/>
      <x:c r="P36" s="3"/>
      <x:c r="Q36" s="3"/>
      <x:c r="R36" s="3"/>
    </x:row>
    <x:row r="37" ht="34" customHeight="1">
      <x:c r="A37" s="46"/>
      <x:c r="B37" s="46"/>
      <x:c r="C37" s="46"/>
      <x:c r="D37" s="46"/>
      <x:c r="E37" s="46"/>
      <x:c r="F37" s="83" t="str">
        <x:f>IF(A37="","",IF(AND(COUNT(B37,E37)=2,B37&gt;=0,E37&gt;=0),E37-B37,""))</x:f>
      </x:c>
      <x:c r="G37" s="46"/>
      <x:c r="H37" s="3"/>
      <x:c r="I37" s="3"/>
      <x:c r="J37" s="3"/>
      <x:c r="K37" s="3"/>
      <x:c r="L37" s="3"/>
      <x:c r="M37" s="3"/>
      <x:c r="N37" s="3"/>
      <x:c r="O37" s="3"/>
      <x:c r="P37" s="3"/>
      <x:c r="Q37" s="3"/>
      <x:c r="R37" s="3"/>
    </x:row>
    <x:row r="38" ht="34" customHeight="1">
      <x:c r="A38" s="46"/>
      <x:c r="B38" s="46"/>
      <x:c r="C38" s="46"/>
      <x:c r="D38" s="46"/>
      <x:c r="E38" s="46"/>
      <x:c r="F38" s="83" t="str">
        <x:f>IF(A38="","",IF(AND(COUNT(B38,E38)=2,B38&gt;=0,E38&gt;=0),E38-B38,""))</x:f>
      </x:c>
      <x:c r="G38" s="46"/>
      <x:c r="H38" s="3"/>
      <x:c r="I38" s="3"/>
      <x:c r="J38" s="3"/>
      <x:c r="K38" s="3"/>
      <x:c r="L38" s="3"/>
      <x:c r="M38" s="3"/>
      <x:c r="N38" s="3"/>
      <x:c r="O38" s="3"/>
      <x:c r="P38" s="3"/>
      <x:c r="Q38" s="3"/>
      <x:c r="R38" s="3"/>
    </x:row>
    <x:row r="39" ht="34" customHeight="1">
      <x:c r="A39" s="46"/>
      <x:c r="B39" s="46"/>
      <x:c r="C39" s="46"/>
      <x:c r="D39" s="46"/>
      <x:c r="E39" s="46"/>
      <x:c r="F39" s="83" t="str">
        <x:f>IF(A39="","",IF(AND(COUNT(B39,E39)=2,B39&gt;=0,E39&gt;=0),E39-B39,""))</x:f>
      </x:c>
      <x:c r="G39" s="46"/>
      <x:c r="H39" s="3"/>
      <x:c r="I39" s="3"/>
      <x:c r="J39" s="3"/>
      <x:c r="K39" s="3"/>
      <x:c r="L39" s="3"/>
      <x:c r="M39" s="3"/>
      <x:c r="N39" s="3"/>
      <x:c r="O39" s="3"/>
      <x:c r="P39" s="3"/>
      <x:c r="Q39" s="3"/>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20" customHeight="1">
      <x:c r="A42" s="3"/>
      <x:c r="B42" s="3"/>
      <x:c r="C42" s="3"/>
      <x:c r="D42" s="3"/>
      <x:c r="E42" s="3"/>
      <x:c r="F42" s="3"/>
      <x:c r="G42" s="3"/>
      <x:c r="H42" s="3"/>
      <x:c r="I42" s="3"/>
      <x:c r="J42" s="3"/>
      <x:c r="K42" s="3"/>
      <x:c r="L42" s="3"/>
      <x:c r="M42" s="3"/>
      <x:c r="N42" s="3"/>
      <x:c r="O42" s="3"/>
      <x:c r="P42" s="3"/>
      <x:c r="Q42" s="3"/>
      <x:c r="R42" s="3"/>
    </x:row>
    <x:row r="43" ht="20" customHeight="1">
      <x:c r="A43" s="17" t="str">
        <x:v>Negative difference means less measured effort. Include work moved to another person or time; external preparation is not free. Do not compare incomplete before/after totals or treat one observed switch as representative annual evidence.</x:v>
      </x:c>
      <x:c r="B43" s="17"/>
      <x:c r="C43" s="17"/>
      <x:c r="D43" s="17"/>
      <x:c r="E43" s="17"/>
      <x:c r="F43" s="17"/>
      <x:c r="G43" s="17"/>
      <x:c r="H43" s="17"/>
      <x:c r="I43" s="17"/>
      <x:c r="J43" s="17"/>
      <x:c r="K43" s="17"/>
      <x:c r="L43" s="17"/>
      <x:c r="M43" s="3"/>
      <x:c r="N43" s="3"/>
      <x:c r="O43" s="3"/>
      <x:c r="P43" s="3"/>
      <x:c r="Q43" s="3"/>
      <x:c r="R43" s="3"/>
    </x:row>
    <x:row r="44" ht="20" customHeight="1">
      <x:c r="A44" s="17"/>
      <x:c r="B44" s="17"/>
      <x:c r="C44" s="17"/>
      <x:c r="D44" s="17"/>
      <x:c r="E44" s="17"/>
      <x:c r="F44" s="17"/>
      <x:c r="G44" s="17"/>
      <x:c r="H44" s="17"/>
      <x:c r="I44" s="17"/>
      <x:c r="J44" s="17"/>
      <x:c r="K44" s="17"/>
      <x:c r="L44" s="17"/>
      <x:c r="M44" s="3"/>
      <x:c r="N44" s="3"/>
      <x:c r="O44" s="3"/>
      <x:c r="P44" s="3"/>
      <x:c r="Q44" s="3"/>
      <x:c r="R44" s="3"/>
    </x:row>
    <x:row r="45" ht="20" customHeight="1">
      <x:c r="A45" s="17"/>
      <x:c r="B45" s="17"/>
      <x:c r="C45" s="17"/>
      <x:c r="D45" s="17"/>
      <x:c r="E45" s="17"/>
      <x:c r="F45" s="17"/>
      <x:c r="G45" s="17"/>
      <x:c r="H45" s="17"/>
      <x:c r="I45" s="17"/>
      <x:c r="J45" s="17"/>
      <x:c r="K45" s="17"/>
      <x:c r="L45" s="17"/>
      <x:c r="M45" s="3"/>
      <x:c r="N45" s="3"/>
      <x:c r="O45" s="3"/>
      <x:c r="P45" s="3"/>
      <x:c r="Q45" s="3"/>
      <x:c r="R45" s="3"/>
    </x:row>
    <x:row r="46" ht="20" customHeight="1">
      <x:c r="A46" s="17"/>
      <x:c r="B46" s="17"/>
      <x:c r="C46" s="17"/>
      <x:c r="D46" s="17"/>
      <x:c r="E46" s="17"/>
      <x:c r="F46" s="17"/>
      <x:c r="G46" s="17"/>
      <x:c r="H46" s="17"/>
      <x:c r="I46" s="17"/>
      <x:c r="J46" s="17"/>
      <x:c r="K46" s="17"/>
      <x:c r="L46" s="17"/>
      <x:c r="M46" s="3"/>
      <x:c r="N46" s="3"/>
      <x:c r="O46" s="3"/>
      <x:c r="P46" s="3"/>
      <x:c r="Q46" s="3"/>
      <x:c r="R46" s="3"/>
    </x:row>
    <x:row r="47" ht="20" customHeight="1">
      <x:c r="A47" s="3"/>
      <x:c r="B47" s="3"/>
      <x:c r="C47" s="3"/>
      <x:c r="D47" s="3"/>
      <x:c r="E47" s="3"/>
      <x:c r="F47" s="3"/>
      <x:c r="G47" s="3"/>
      <x:c r="H47" s="3"/>
      <x:c r="I47" s="3"/>
      <x:c r="J47" s="3"/>
      <x:c r="K47" s="3"/>
      <x:c r="L47" s="3"/>
      <x:c r="M47" s="3"/>
      <x:c r="N47" s="3"/>
      <x:c r="O47" s="3"/>
      <x:c r="P47" s="3"/>
      <x:c r="Q47" s="3"/>
      <x:c r="R47" s="3"/>
    </x:row>
    <x:row r="48" ht="20" customHeight="1">
      <x:c r="A48" s="3"/>
      <x:c r="B48" s="3"/>
      <x:c r="C48" s="3"/>
      <x:c r="D48" s="3"/>
      <x:c r="E48" s="3"/>
      <x:c r="F48" s="3"/>
      <x:c r="G48" s="3"/>
      <x:c r="H48" s="3"/>
      <x:c r="I48" s="3"/>
      <x:c r="J48" s="3"/>
      <x:c r="K48" s="3"/>
      <x:c r="L48" s="3"/>
      <x:c r="M48" s="3"/>
      <x:c r="N48" s="3"/>
      <x:c r="O48" s="3"/>
      <x:c r="P48" s="3"/>
      <x:c r="Q48" s="3"/>
      <x:c r="R48" s="3"/>
    </x:row>
    <x:row r="49" ht="20" customHeight="1">
      <x:c r="A49" s="3"/>
      <x:c r="B49" s="3"/>
      <x:c r="C49" s="3"/>
      <x:c r="D49" s="3"/>
      <x:c r="E49" s="3"/>
      <x:c r="F49" s="3"/>
      <x:c r="G49" s="3"/>
      <x:c r="H49" s="3"/>
      <x:c r="I49" s="3"/>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F08</x:v>
      </x:c>
      <x:c r="B110" s="34"/>
      <x:c r="C110" s="34"/>
      <x:c r="D110" s="34"/>
      <x:c r="E110" s="34"/>
      <x:c r="F110" s="34"/>
      <x:c r="G110" s="34"/>
      <x:c r="H110" s="34"/>
      <x:c r="I110" s="34"/>
      <x:c r="J110" s="34"/>
      <x:c r="K110" s="34"/>
      <x:c r="L110" s="34"/>
      <x:c r="M110" s="3"/>
      <x:c r="N110" s="3"/>
      <x:c r="O110" s="3"/>
      <x:c r="P110" s="3"/>
      <x:c r="Q110" s="3"/>
      <x:c r="R110" s="3"/>
    </x:row>
    <x:row r="111" ht="20" customHeight="1">
      <x:c r="A111" s="40" t="str">
        <x:v>01  Changeover boundary</x:v>
      </x:c>
      <x:c r="B111" s="40"/>
      <x:c r="C111" s="40"/>
      <x:c r="D111" s="17" t="str">
        <x:v>Define the start and finish.</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Current activities</x:v>
      </x:c>
      <x:c r="B117" s="40"/>
      <x:c r="C117" s="40"/>
      <x:c r="D117" s="17" t="str">
        <x:v>Record actual setup work.</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Internal and external setup</x:v>
      </x:c>
      <x:c r="B123" s="40"/>
      <x:c r="C123" s="40"/>
      <x:c r="D123" s="17" t="str">
        <x:v>Distinguish what must occur during the stop.</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Redesign</x:v>
      </x:c>
      <x:c r="B129" s="40"/>
      <x:c r="C129" s="40"/>
      <x:c r="D129" s="17" t="str">
        <x:v>Simplify without moving hidden work.</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Test and measures</x:v>
      </x:c>
      <x:c r="B135" s="40"/>
      <x:c r="C135" s="40"/>
      <x:c r="D135" s="17" t="str">
        <x:v>Compare effort, interruption and quality.</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Standard and review</x:v>
      </x:c>
      <x:c r="B141" s="40"/>
      <x:c r="C141" s="40"/>
      <x:c r="D141" s="17" t="str">
        <x:v>Maintain the improved method.</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Do not pre-populate sensitive data or bypass verification to make setup faster. Moving work to another person or time does not remove its cost; track total effort and quality.</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F02, F03, F06  |  METHOD SOURCES: U03, R26</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 ref="A43:L46"/>
  </x:mergeCells>
  <x:dataValidations count="1">
    <x:dataValidation type="list" sqref="C10:C39">
      <x:formula1>"Internal,External,Unclassified"</x:formula1>
    </x:dataValidation>
  </x:dataValidations>
  <x:pageMargins left="0.7" right="0.7" top="0.75" bottom="0.75" header="0.3" footer="0.3"/>
</x:worksheet>
</file>

<file path=xl/worksheets/sheet72.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2" hidden="0" customWidth="1"/>
    <x:col min="2" max="2" width="30" hidden="0" customWidth="1"/>
    <x:col min="3" max="3" width="36" hidden="0" customWidth="1"/>
    <x:col min="4" max="4" width="34" hidden="0" customWidth="1"/>
    <x:col min="5" max="5" width="8" hidden="0" customWidth="1"/>
    <x:col min="6" max="6" width="8" hidden="0" customWidth="1"/>
    <x:col min="7" max="7" width="8" hidden="0" customWidth="1"/>
    <x:col min="8" max="8" width="13" hidden="0" customWidth="1"/>
    <x:col min="9" max="9" width="38" hidden="0" customWidth="1"/>
    <x:col min="10" max="10" width="22" hidden="0" customWidth="1"/>
    <x:col min="11" max="11" width="17" hidden="0" customWidth="1"/>
    <x:col min="12" max="12" width="18" hidden="0" customWidth="1"/>
    <x:col min="13" max="13" width="13" hidden="0" customWidth="1"/>
    <x:col min="14" max="14" width="13" hidden="0" customWidth="1"/>
    <x:col min="15" max="15" width="13" hidden="0" customWidth="1"/>
    <x:col min="16" max="16" width="18" hidden="0" customWidth="1"/>
    <x:col min="17" max="17" width="36" hidden="0" customWidth="1"/>
    <x:col min="18" max="18" width="11" hidden="0" customWidth="1"/>
  </x:cols>
  <x:sheetData>
    <x:row r="1" ht="26" customHeight="1">
      <x:c r="A1" s="9" t="str">
        <x:v>F09  Process FMEA and control-action register</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Anticipate how a proposed process could fail and strengthen the controls before release.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ID</x:v>
      </x:c>
      <x:c r="B9" s="77" t="str">
        <x:v>Step / failure</x:v>
      </x:c>
      <x:c r="C9" s="77" t="str">
        <x:v>Effect / cause</x:v>
      </x:c>
      <x:c r="D9" s="77" t="str">
        <x:v>Current controls</x:v>
      </x:c>
      <x:c r="E9" s="77" t="str">
        <x:v>S</x:v>
      </x:c>
      <x:c r="F9" s="77" t="str">
        <x:v>O</x:v>
      </x:c>
      <x:c r="G9" s="77" t="str">
        <x:v>D</x:v>
      </x:c>
      <x:c r="H9" s="77" t="str">
        <x:v>Priority</x:v>
      </x:c>
      <x:c r="I9" s="77" t="str">
        <x:v>Action</x:v>
      </x:c>
      <x:c r="J9" s="77" t="str">
        <x:v>Owner</x:v>
      </x:c>
      <x:c r="K9" s="77" t="str">
        <x:v>Due</x:v>
      </x:c>
      <x:c r="L9" s="77" t="str">
        <x:v>Status</x:v>
      </x:c>
      <x:c r="M9" s="77" t="str">
        <x:v>Residual S</x:v>
      </x:c>
      <x:c r="N9" s="77" t="str">
        <x:v>Residual O</x:v>
      </x:c>
      <x:c r="O9" s="77" t="str">
        <x:v>Residual D</x:v>
      </x:c>
      <x:c r="P9" s="77" t="str">
        <x:v>Residual product</x:v>
      </x:c>
      <x:c r="Q9" s="77" t="str">
        <x:v>Review flag</x:v>
      </x:c>
      <x:c r="R9" s="3"/>
    </x:row>
    <x:row r="10" ht="34" customHeight="1">
      <x:c r="A10" s="46"/>
      <x:c r="B10" s="46"/>
      <x:c r="C10" s="46"/>
      <x:c r="D10" s="46"/>
      <x:c r="E10" s="46"/>
      <x:c r="F10" s="46"/>
      <x:c r="G10" s="46"/>
      <x:c r="H10" s="83" t="str">
        <x:f>IF(A10="","",IF(AND(COUNT(E10:G10)=3,MIN(E10:G10)&gt;=1,MAX(E10:G10)&lt;=5,MOD(E10,1)=0,MOD(F10,1)=0,MOD(G10,1)=0),E10*F10*G10,""))</x:f>
      </x:c>
      <x:c r="I10" s="46"/>
      <x:c r="J10" s="46"/>
      <x:c r="K10" s="88"/>
      <x:c r="L10" s="46"/>
      <x:c r="M10" s="46"/>
      <x:c r="N10" s="46"/>
      <x:c r="O10" s="46"/>
      <x:c r="P10" s="83" t="str">
        <x:f>IF(A10="","",IF(AND(OR(L10="Verified",L10="Closed"),COUNT(M10:O10)=3,MIN(M10:O10)&gt;=1,MAX(M10:O10)&lt;=5,MOD(M10,1)=0,MOD(N10,1)=0,MOD(O10,1)=0),M10*N10*O10,""))</x:f>
      </x:c>
      <x:c r="Q10" s="83" t="str">
        <x:f>IF(A10="","",IF(NOT(ISNUMBER(H10)),"Complete valid current ratings",IF(E10&gt;='01 Setup'!$B$23,"MANDATORY severity review",IF(AND(OR(L10="Verified",L10="Closed"),NOT(ISNUMBER(P10))),"Complete valid residual ratings",IF(AND(COUNT(M10:O10)&gt;0,NOT(OR(L10="Verified",L10="Closed"))),"Residual ratings not yet verified","Review controls and evidence")))))</x:f>
      </x:c>
      <x:c r="R10" s="3"/>
    </x:row>
    <x:row r="11" ht="34" customHeight="1">
      <x:c r="A11" s="46"/>
      <x:c r="B11" s="46"/>
      <x:c r="C11" s="46"/>
      <x:c r="D11" s="46"/>
      <x:c r="E11" s="46"/>
      <x:c r="F11" s="46"/>
      <x:c r="G11" s="46"/>
      <x:c r="H11" s="83" t="str">
        <x:f>IF(A11="","",IF(AND(COUNT(E11:G11)=3,MIN(E11:G11)&gt;=1,MAX(E11:G11)&lt;=5,MOD(E11,1)=0,MOD(F11,1)=0,MOD(G11,1)=0),E11*F11*G11,""))</x:f>
      </x:c>
      <x:c r="I11" s="46"/>
      <x:c r="J11" s="46"/>
      <x:c r="K11" s="88"/>
      <x:c r="L11" s="46"/>
      <x:c r="M11" s="46"/>
      <x:c r="N11" s="46"/>
      <x:c r="O11" s="46"/>
      <x:c r="P11" s="83" t="str">
        <x:f>IF(A11="","",IF(AND(OR(L11="Verified",L11="Closed"),COUNT(M11:O11)=3,MIN(M11:O11)&gt;=1,MAX(M11:O11)&lt;=5,MOD(M11,1)=0,MOD(N11,1)=0,MOD(O11,1)=0),M11*N11*O11,""))</x:f>
      </x:c>
      <x:c r="Q11" s="83" t="str">
        <x:f>IF(A11="","",IF(NOT(ISNUMBER(H11)),"Complete valid current ratings",IF(E11&gt;='01 Setup'!$B$23,"MANDATORY severity review",IF(AND(OR(L11="Verified",L11="Closed"),NOT(ISNUMBER(P11))),"Complete valid residual ratings",IF(AND(COUNT(M11:O11)&gt;0,NOT(OR(L11="Verified",L11="Closed"))),"Residual ratings not yet verified","Review controls and evidence")))))</x:f>
      </x:c>
      <x:c r="R11" s="3"/>
    </x:row>
    <x:row r="12" ht="34" customHeight="1">
      <x:c r="A12" s="46"/>
      <x:c r="B12" s="46"/>
      <x:c r="C12" s="46"/>
      <x:c r="D12" s="46"/>
      <x:c r="E12" s="46"/>
      <x:c r="F12" s="46"/>
      <x:c r="G12" s="46"/>
      <x:c r="H12" s="83" t="str">
        <x:f>IF(A12="","",IF(AND(COUNT(E12:G12)=3,MIN(E12:G12)&gt;=1,MAX(E12:G12)&lt;=5,MOD(E12,1)=0,MOD(F12,1)=0,MOD(G12,1)=0),E12*F12*G12,""))</x:f>
      </x:c>
      <x:c r="I12" s="46"/>
      <x:c r="J12" s="46"/>
      <x:c r="K12" s="88"/>
      <x:c r="L12" s="46"/>
      <x:c r="M12" s="46"/>
      <x:c r="N12" s="46"/>
      <x:c r="O12" s="46"/>
      <x:c r="P12" s="83" t="str">
        <x:f>IF(A12="","",IF(AND(OR(L12="Verified",L12="Closed"),COUNT(M12:O12)=3,MIN(M12:O12)&gt;=1,MAX(M12:O12)&lt;=5,MOD(M12,1)=0,MOD(N12,1)=0,MOD(O12,1)=0),M12*N12*O12,""))</x:f>
      </x:c>
      <x:c r="Q12" s="83" t="str">
        <x:f>IF(A12="","",IF(NOT(ISNUMBER(H12)),"Complete valid current ratings",IF(E12&gt;='01 Setup'!$B$23,"MANDATORY severity review",IF(AND(OR(L12="Verified",L12="Closed"),NOT(ISNUMBER(P12))),"Complete valid residual ratings",IF(AND(COUNT(M12:O12)&gt;0,NOT(OR(L12="Verified",L12="Closed"))),"Residual ratings not yet verified","Review controls and evidence")))))</x:f>
      </x:c>
      <x:c r="R12" s="3"/>
    </x:row>
    <x:row r="13" ht="34" customHeight="1">
      <x:c r="A13" s="46"/>
      <x:c r="B13" s="46"/>
      <x:c r="C13" s="46"/>
      <x:c r="D13" s="46"/>
      <x:c r="E13" s="46"/>
      <x:c r="F13" s="46"/>
      <x:c r="G13" s="46"/>
      <x:c r="H13" s="83" t="str">
        <x:f>IF(A13="","",IF(AND(COUNT(E13:G13)=3,MIN(E13:G13)&gt;=1,MAX(E13:G13)&lt;=5,MOD(E13,1)=0,MOD(F13,1)=0,MOD(G13,1)=0),E13*F13*G13,""))</x:f>
      </x:c>
      <x:c r="I13" s="46"/>
      <x:c r="J13" s="46"/>
      <x:c r="K13" s="88"/>
      <x:c r="L13" s="46"/>
      <x:c r="M13" s="46"/>
      <x:c r="N13" s="46"/>
      <x:c r="O13" s="46"/>
      <x:c r="P13" s="83" t="str">
        <x:f>IF(A13="","",IF(AND(OR(L13="Verified",L13="Closed"),COUNT(M13:O13)=3,MIN(M13:O13)&gt;=1,MAX(M13:O13)&lt;=5,MOD(M13,1)=0,MOD(N13,1)=0,MOD(O13,1)=0),M13*N13*O13,""))</x:f>
      </x:c>
      <x:c r="Q13" s="83" t="str">
        <x:f>IF(A13="","",IF(NOT(ISNUMBER(H13)),"Complete valid current ratings",IF(E13&gt;='01 Setup'!$B$23,"MANDATORY severity review",IF(AND(OR(L13="Verified",L13="Closed"),NOT(ISNUMBER(P13))),"Complete valid residual ratings",IF(AND(COUNT(M13:O13)&gt;0,NOT(OR(L13="Verified",L13="Closed"))),"Residual ratings not yet verified","Review controls and evidence")))))</x:f>
      </x:c>
      <x:c r="R13" s="3"/>
    </x:row>
    <x:row r="14" ht="34" customHeight="1">
      <x:c r="A14" s="46"/>
      <x:c r="B14" s="46"/>
      <x:c r="C14" s="46"/>
      <x:c r="D14" s="46"/>
      <x:c r="E14" s="46"/>
      <x:c r="F14" s="46"/>
      <x:c r="G14" s="46"/>
      <x:c r="H14" s="83" t="str">
        <x:f>IF(A14="","",IF(AND(COUNT(E14:G14)=3,MIN(E14:G14)&gt;=1,MAX(E14:G14)&lt;=5,MOD(E14,1)=0,MOD(F14,1)=0,MOD(G14,1)=0),E14*F14*G14,""))</x:f>
      </x:c>
      <x:c r="I14" s="46"/>
      <x:c r="J14" s="46"/>
      <x:c r="K14" s="88"/>
      <x:c r="L14" s="46"/>
      <x:c r="M14" s="46"/>
      <x:c r="N14" s="46"/>
      <x:c r="O14" s="46"/>
      <x:c r="P14" s="83" t="str">
        <x:f>IF(A14="","",IF(AND(OR(L14="Verified",L14="Closed"),COUNT(M14:O14)=3,MIN(M14:O14)&gt;=1,MAX(M14:O14)&lt;=5,MOD(M14,1)=0,MOD(N14,1)=0,MOD(O14,1)=0),M14*N14*O14,""))</x:f>
      </x:c>
      <x:c r="Q14" s="83" t="str">
        <x:f>IF(A14="","",IF(NOT(ISNUMBER(H14)),"Complete valid current ratings",IF(E14&gt;='01 Setup'!$B$23,"MANDATORY severity review",IF(AND(OR(L14="Verified",L14="Closed"),NOT(ISNUMBER(P14))),"Complete valid residual ratings",IF(AND(COUNT(M14:O14)&gt;0,NOT(OR(L14="Verified",L14="Closed"))),"Residual ratings not yet verified","Review controls and evidence")))))</x:f>
      </x:c>
      <x:c r="R14" s="3"/>
    </x:row>
    <x:row r="15" ht="34" customHeight="1">
      <x:c r="A15" s="46"/>
      <x:c r="B15" s="46"/>
      <x:c r="C15" s="46"/>
      <x:c r="D15" s="46"/>
      <x:c r="E15" s="46"/>
      <x:c r="F15" s="46"/>
      <x:c r="G15" s="46"/>
      <x:c r="H15" s="83" t="str">
        <x:f>IF(A15="","",IF(AND(COUNT(E15:G15)=3,MIN(E15:G15)&gt;=1,MAX(E15:G15)&lt;=5,MOD(E15,1)=0,MOD(F15,1)=0,MOD(G15,1)=0),E15*F15*G15,""))</x:f>
      </x:c>
      <x:c r="I15" s="46"/>
      <x:c r="J15" s="46"/>
      <x:c r="K15" s="88"/>
      <x:c r="L15" s="46"/>
      <x:c r="M15" s="46"/>
      <x:c r="N15" s="46"/>
      <x:c r="O15" s="46"/>
      <x:c r="P15" s="83" t="str">
        <x:f>IF(A15="","",IF(AND(OR(L15="Verified",L15="Closed"),COUNT(M15:O15)=3,MIN(M15:O15)&gt;=1,MAX(M15:O15)&lt;=5,MOD(M15,1)=0,MOD(N15,1)=0,MOD(O15,1)=0),M15*N15*O15,""))</x:f>
      </x:c>
      <x:c r="Q15" s="83" t="str">
        <x:f>IF(A15="","",IF(NOT(ISNUMBER(H15)),"Complete valid current ratings",IF(E15&gt;='01 Setup'!$B$23,"MANDATORY severity review",IF(AND(OR(L15="Verified",L15="Closed"),NOT(ISNUMBER(P15))),"Complete valid residual ratings",IF(AND(COUNT(M15:O15)&gt;0,NOT(OR(L15="Verified",L15="Closed"))),"Residual ratings not yet verified","Review controls and evidence")))))</x:f>
      </x:c>
      <x:c r="R15" s="3"/>
    </x:row>
    <x:row r="16" ht="34" customHeight="1">
      <x:c r="A16" s="46"/>
      <x:c r="B16" s="46"/>
      <x:c r="C16" s="46"/>
      <x:c r="D16" s="46"/>
      <x:c r="E16" s="46"/>
      <x:c r="F16" s="46"/>
      <x:c r="G16" s="46"/>
      <x:c r="H16" s="83" t="str">
        <x:f>IF(A16="","",IF(AND(COUNT(E16:G16)=3,MIN(E16:G16)&gt;=1,MAX(E16:G16)&lt;=5,MOD(E16,1)=0,MOD(F16,1)=0,MOD(G16,1)=0),E16*F16*G16,""))</x:f>
      </x:c>
      <x:c r="I16" s="46"/>
      <x:c r="J16" s="46"/>
      <x:c r="K16" s="88"/>
      <x:c r="L16" s="46"/>
      <x:c r="M16" s="46"/>
      <x:c r="N16" s="46"/>
      <x:c r="O16" s="46"/>
      <x:c r="P16" s="83" t="str">
        <x:f>IF(A16="","",IF(AND(OR(L16="Verified",L16="Closed"),COUNT(M16:O16)=3,MIN(M16:O16)&gt;=1,MAX(M16:O16)&lt;=5,MOD(M16,1)=0,MOD(N16,1)=0,MOD(O16,1)=0),M16*N16*O16,""))</x:f>
      </x:c>
      <x:c r="Q16" s="83" t="str">
        <x:f>IF(A16="","",IF(NOT(ISNUMBER(H16)),"Complete valid current ratings",IF(E16&gt;='01 Setup'!$B$23,"MANDATORY severity review",IF(AND(OR(L16="Verified",L16="Closed"),NOT(ISNUMBER(P16))),"Complete valid residual ratings",IF(AND(COUNT(M16:O16)&gt;0,NOT(OR(L16="Verified",L16="Closed"))),"Residual ratings not yet verified","Review controls and evidence")))))</x:f>
      </x:c>
      <x:c r="R16" s="3"/>
    </x:row>
    <x:row r="17" ht="34" customHeight="1">
      <x:c r="A17" s="46"/>
      <x:c r="B17" s="46"/>
      <x:c r="C17" s="46"/>
      <x:c r="D17" s="46"/>
      <x:c r="E17" s="46"/>
      <x:c r="F17" s="46"/>
      <x:c r="G17" s="46"/>
      <x:c r="H17" s="83" t="str">
        <x:f>IF(A17="","",IF(AND(COUNT(E17:G17)=3,MIN(E17:G17)&gt;=1,MAX(E17:G17)&lt;=5,MOD(E17,1)=0,MOD(F17,1)=0,MOD(G17,1)=0),E17*F17*G17,""))</x:f>
      </x:c>
      <x:c r="I17" s="46"/>
      <x:c r="J17" s="46"/>
      <x:c r="K17" s="88"/>
      <x:c r="L17" s="46"/>
      <x:c r="M17" s="46"/>
      <x:c r="N17" s="46"/>
      <x:c r="O17" s="46"/>
      <x:c r="P17" s="83" t="str">
        <x:f>IF(A17="","",IF(AND(OR(L17="Verified",L17="Closed"),COUNT(M17:O17)=3,MIN(M17:O17)&gt;=1,MAX(M17:O17)&lt;=5,MOD(M17,1)=0,MOD(N17,1)=0,MOD(O17,1)=0),M17*N17*O17,""))</x:f>
      </x:c>
      <x:c r="Q17" s="83" t="str">
        <x:f>IF(A17="","",IF(NOT(ISNUMBER(H17)),"Complete valid current ratings",IF(E17&gt;='01 Setup'!$B$23,"MANDATORY severity review",IF(AND(OR(L17="Verified",L17="Closed"),NOT(ISNUMBER(P17))),"Complete valid residual ratings",IF(AND(COUNT(M17:O17)&gt;0,NOT(OR(L17="Verified",L17="Closed"))),"Residual ratings not yet verified","Review controls and evidence")))))</x:f>
      </x:c>
      <x:c r="R17" s="3"/>
    </x:row>
    <x:row r="18" ht="34" customHeight="1">
      <x:c r="A18" s="46"/>
      <x:c r="B18" s="46"/>
      <x:c r="C18" s="46"/>
      <x:c r="D18" s="46"/>
      <x:c r="E18" s="46"/>
      <x:c r="F18" s="46"/>
      <x:c r="G18" s="46"/>
      <x:c r="H18" s="83" t="str">
        <x:f>IF(A18="","",IF(AND(COUNT(E18:G18)=3,MIN(E18:G18)&gt;=1,MAX(E18:G18)&lt;=5,MOD(E18,1)=0,MOD(F18,1)=0,MOD(G18,1)=0),E18*F18*G18,""))</x:f>
      </x:c>
      <x:c r="I18" s="46"/>
      <x:c r="J18" s="46"/>
      <x:c r="K18" s="88"/>
      <x:c r="L18" s="46"/>
      <x:c r="M18" s="46"/>
      <x:c r="N18" s="46"/>
      <x:c r="O18" s="46"/>
      <x:c r="P18" s="83" t="str">
        <x:f>IF(A18="","",IF(AND(OR(L18="Verified",L18="Closed"),COUNT(M18:O18)=3,MIN(M18:O18)&gt;=1,MAX(M18:O18)&lt;=5,MOD(M18,1)=0,MOD(N18,1)=0,MOD(O18,1)=0),M18*N18*O18,""))</x:f>
      </x:c>
      <x:c r="Q18" s="83" t="str">
        <x:f>IF(A18="","",IF(NOT(ISNUMBER(H18)),"Complete valid current ratings",IF(E18&gt;='01 Setup'!$B$23,"MANDATORY severity review",IF(AND(OR(L18="Verified",L18="Closed"),NOT(ISNUMBER(P18))),"Complete valid residual ratings",IF(AND(COUNT(M18:O18)&gt;0,NOT(OR(L18="Verified",L18="Closed"))),"Residual ratings not yet verified","Review controls and evidence")))))</x:f>
      </x:c>
      <x:c r="R18" s="3"/>
    </x:row>
    <x:row r="19" ht="34" customHeight="1">
      <x:c r="A19" s="46"/>
      <x:c r="B19" s="46"/>
      <x:c r="C19" s="46"/>
      <x:c r="D19" s="46"/>
      <x:c r="E19" s="46"/>
      <x:c r="F19" s="46"/>
      <x:c r="G19" s="46"/>
      <x:c r="H19" s="83" t="str">
        <x:f>IF(A19="","",IF(AND(COUNT(E19:G19)=3,MIN(E19:G19)&gt;=1,MAX(E19:G19)&lt;=5,MOD(E19,1)=0,MOD(F19,1)=0,MOD(G19,1)=0),E19*F19*G19,""))</x:f>
      </x:c>
      <x:c r="I19" s="46"/>
      <x:c r="J19" s="46"/>
      <x:c r="K19" s="88"/>
      <x:c r="L19" s="46"/>
      <x:c r="M19" s="46"/>
      <x:c r="N19" s="46"/>
      <x:c r="O19" s="46"/>
      <x:c r="P19" s="83" t="str">
        <x:f>IF(A19="","",IF(AND(OR(L19="Verified",L19="Closed"),COUNT(M19:O19)=3,MIN(M19:O19)&gt;=1,MAX(M19:O19)&lt;=5,MOD(M19,1)=0,MOD(N19,1)=0,MOD(O19,1)=0),M19*N19*O19,""))</x:f>
      </x:c>
      <x:c r="Q19" s="83" t="str">
        <x:f>IF(A19="","",IF(NOT(ISNUMBER(H19)),"Complete valid current ratings",IF(E19&gt;='01 Setup'!$B$23,"MANDATORY severity review",IF(AND(OR(L19="Verified",L19="Closed"),NOT(ISNUMBER(P19))),"Complete valid residual ratings",IF(AND(COUNT(M19:O19)&gt;0,NOT(OR(L19="Verified",L19="Closed"))),"Residual ratings not yet verified","Review controls and evidence")))))</x:f>
      </x:c>
      <x:c r="R19" s="3"/>
    </x:row>
    <x:row r="20" ht="34" customHeight="1">
      <x:c r="A20" s="46"/>
      <x:c r="B20" s="46"/>
      <x:c r="C20" s="46"/>
      <x:c r="D20" s="46"/>
      <x:c r="E20" s="46"/>
      <x:c r="F20" s="46"/>
      <x:c r="G20" s="46"/>
      <x:c r="H20" s="83" t="str">
        <x:f>IF(A20="","",IF(AND(COUNT(E20:G20)=3,MIN(E20:G20)&gt;=1,MAX(E20:G20)&lt;=5,MOD(E20,1)=0,MOD(F20,1)=0,MOD(G20,1)=0),E20*F20*G20,""))</x:f>
      </x:c>
      <x:c r="I20" s="46"/>
      <x:c r="J20" s="46"/>
      <x:c r="K20" s="88"/>
      <x:c r="L20" s="46"/>
      <x:c r="M20" s="46"/>
      <x:c r="N20" s="46"/>
      <x:c r="O20" s="46"/>
      <x:c r="P20" s="83" t="str">
        <x:f>IF(A20="","",IF(AND(OR(L20="Verified",L20="Closed"),COUNT(M20:O20)=3,MIN(M20:O20)&gt;=1,MAX(M20:O20)&lt;=5,MOD(M20,1)=0,MOD(N20,1)=0,MOD(O20,1)=0),M20*N20*O20,""))</x:f>
      </x:c>
      <x:c r="Q20" s="83" t="str">
        <x:f>IF(A20="","",IF(NOT(ISNUMBER(H20)),"Complete valid current ratings",IF(E20&gt;='01 Setup'!$B$23,"MANDATORY severity review",IF(AND(OR(L20="Verified",L20="Closed"),NOT(ISNUMBER(P20))),"Complete valid residual ratings",IF(AND(COUNT(M20:O20)&gt;0,NOT(OR(L20="Verified",L20="Closed"))),"Residual ratings not yet verified","Review controls and evidence")))))</x:f>
      </x:c>
      <x:c r="R20" s="3"/>
    </x:row>
    <x:row r="21" ht="34" customHeight="1">
      <x:c r="A21" s="46"/>
      <x:c r="B21" s="46"/>
      <x:c r="C21" s="46"/>
      <x:c r="D21" s="46"/>
      <x:c r="E21" s="46"/>
      <x:c r="F21" s="46"/>
      <x:c r="G21" s="46"/>
      <x:c r="H21" s="83" t="str">
        <x:f>IF(A21="","",IF(AND(COUNT(E21:G21)=3,MIN(E21:G21)&gt;=1,MAX(E21:G21)&lt;=5,MOD(E21,1)=0,MOD(F21,1)=0,MOD(G21,1)=0),E21*F21*G21,""))</x:f>
      </x:c>
      <x:c r="I21" s="46"/>
      <x:c r="J21" s="46"/>
      <x:c r="K21" s="88"/>
      <x:c r="L21" s="46"/>
      <x:c r="M21" s="46"/>
      <x:c r="N21" s="46"/>
      <x:c r="O21" s="46"/>
      <x:c r="P21" s="83" t="str">
        <x:f>IF(A21="","",IF(AND(OR(L21="Verified",L21="Closed"),COUNT(M21:O21)=3,MIN(M21:O21)&gt;=1,MAX(M21:O21)&lt;=5,MOD(M21,1)=0,MOD(N21,1)=0,MOD(O21,1)=0),M21*N21*O21,""))</x:f>
      </x:c>
      <x:c r="Q21" s="83" t="str">
        <x:f>IF(A21="","",IF(NOT(ISNUMBER(H21)),"Complete valid current ratings",IF(E21&gt;='01 Setup'!$B$23,"MANDATORY severity review",IF(AND(OR(L21="Verified",L21="Closed"),NOT(ISNUMBER(P21))),"Complete valid residual ratings",IF(AND(COUNT(M21:O21)&gt;0,NOT(OR(L21="Verified",L21="Closed"))),"Residual ratings not yet verified","Review controls and evidence")))))</x:f>
      </x:c>
      <x:c r="R21" s="3"/>
    </x:row>
    <x:row r="22" ht="34" customHeight="1">
      <x:c r="A22" s="46"/>
      <x:c r="B22" s="46"/>
      <x:c r="C22" s="46"/>
      <x:c r="D22" s="46"/>
      <x:c r="E22" s="46"/>
      <x:c r="F22" s="46"/>
      <x:c r="G22" s="46"/>
      <x:c r="H22" s="83" t="str">
        <x:f>IF(A22="","",IF(AND(COUNT(E22:G22)=3,MIN(E22:G22)&gt;=1,MAX(E22:G22)&lt;=5,MOD(E22,1)=0,MOD(F22,1)=0,MOD(G22,1)=0),E22*F22*G22,""))</x:f>
      </x:c>
      <x:c r="I22" s="46"/>
      <x:c r="J22" s="46"/>
      <x:c r="K22" s="88"/>
      <x:c r="L22" s="46"/>
      <x:c r="M22" s="46"/>
      <x:c r="N22" s="46"/>
      <x:c r="O22" s="46"/>
      <x:c r="P22" s="83" t="str">
        <x:f>IF(A22="","",IF(AND(OR(L22="Verified",L22="Closed"),COUNT(M22:O22)=3,MIN(M22:O22)&gt;=1,MAX(M22:O22)&lt;=5,MOD(M22,1)=0,MOD(N22,1)=0,MOD(O22,1)=0),M22*N22*O22,""))</x:f>
      </x:c>
      <x:c r="Q22" s="83" t="str">
        <x:f>IF(A22="","",IF(NOT(ISNUMBER(H22)),"Complete valid current ratings",IF(E22&gt;='01 Setup'!$B$23,"MANDATORY severity review",IF(AND(OR(L22="Verified",L22="Closed"),NOT(ISNUMBER(P22))),"Complete valid residual ratings",IF(AND(COUNT(M22:O22)&gt;0,NOT(OR(L22="Verified",L22="Closed"))),"Residual ratings not yet verified","Review controls and evidence")))))</x:f>
      </x:c>
      <x:c r="R22" s="3"/>
    </x:row>
    <x:row r="23" ht="34" customHeight="1">
      <x:c r="A23" s="46"/>
      <x:c r="B23" s="46"/>
      <x:c r="C23" s="46"/>
      <x:c r="D23" s="46"/>
      <x:c r="E23" s="46"/>
      <x:c r="F23" s="46"/>
      <x:c r="G23" s="46"/>
      <x:c r="H23" s="83" t="str">
        <x:f>IF(A23="","",IF(AND(COUNT(E23:G23)=3,MIN(E23:G23)&gt;=1,MAX(E23:G23)&lt;=5,MOD(E23,1)=0,MOD(F23,1)=0,MOD(G23,1)=0),E23*F23*G23,""))</x:f>
      </x:c>
      <x:c r="I23" s="46"/>
      <x:c r="J23" s="46"/>
      <x:c r="K23" s="88"/>
      <x:c r="L23" s="46"/>
      <x:c r="M23" s="46"/>
      <x:c r="N23" s="46"/>
      <x:c r="O23" s="46"/>
      <x:c r="P23" s="83" t="str">
        <x:f>IF(A23="","",IF(AND(OR(L23="Verified",L23="Closed"),COUNT(M23:O23)=3,MIN(M23:O23)&gt;=1,MAX(M23:O23)&lt;=5,MOD(M23,1)=0,MOD(N23,1)=0,MOD(O23,1)=0),M23*N23*O23,""))</x:f>
      </x:c>
      <x:c r="Q23" s="83" t="str">
        <x:f>IF(A23="","",IF(NOT(ISNUMBER(H23)),"Complete valid current ratings",IF(E23&gt;='01 Setup'!$B$23,"MANDATORY severity review",IF(AND(OR(L23="Verified",L23="Closed"),NOT(ISNUMBER(P23))),"Complete valid residual ratings",IF(AND(COUNT(M23:O23)&gt;0,NOT(OR(L23="Verified",L23="Closed"))),"Residual ratings not yet verified","Review controls and evidence")))))</x:f>
      </x:c>
      <x:c r="R23" s="3"/>
    </x:row>
    <x:row r="24" ht="34" customHeight="1">
      <x:c r="A24" s="46"/>
      <x:c r="B24" s="46"/>
      <x:c r="C24" s="46"/>
      <x:c r="D24" s="46"/>
      <x:c r="E24" s="46"/>
      <x:c r="F24" s="46"/>
      <x:c r="G24" s="46"/>
      <x:c r="H24" s="83" t="str">
        <x:f>IF(A24="","",IF(AND(COUNT(E24:G24)=3,MIN(E24:G24)&gt;=1,MAX(E24:G24)&lt;=5,MOD(E24,1)=0,MOD(F24,1)=0,MOD(G24,1)=0),E24*F24*G24,""))</x:f>
      </x:c>
      <x:c r="I24" s="46"/>
      <x:c r="J24" s="46"/>
      <x:c r="K24" s="88"/>
      <x:c r="L24" s="46"/>
      <x:c r="M24" s="46"/>
      <x:c r="N24" s="46"/>
      <x:c r="O24" s="46"/>
      <x:c r="P24" s="83" t="str">
        <x:f>IF(A24="","",IF(AND(OR(L24="Verified",L24="Closed"),COUNT(M24:O24)=3,MIN(M24:O24)&gt;=1,MAX(M24:O24)&lt;=5,MOD(M24,1)=0,MOD(N24,1)=0,MOD(O24,1)=0),M24*N24*O24,""))</x:f>
      </x:c>
      <x:c r="Q24" s="83" t="str">
        <x:f>IF(A24="","",IF(NOT(ISNUMBER(H24)),"Complete valid current ratings",IF(E24&gt;='01 Setup'!$B$23,"MANDATORY severity review",IF(AND(OR(L24="Verified",L24="Closed"),NOT(ISNUMBER(P24))),"Complete valid residual ratings",IF(AND(COUNT(M24:O24)&gt;0,NOT(OR(L24="Verified",L24="Closed"))),"Residual ratings not yet verified","Review controls and evidence")))))</x:f>
      </x:c>
      <x:c r="R24" s="3"/>
    </x:row>
    <x:row r="25" ht="34" customHeight="1">
      <x:c r="A25" s="46"/>
      <x:c r="B25" s="46"/>
      <x:c r="C25" s="46"/>
      <x:c r="D25" s="46"/>
      <x:c r="E25" s="46"/>
      <x:c r="F25" s="46"/>
      <x:c r="G25" s="46"/>
      <x:c r="H25" s="83" t="str">
        <x:f>IF(A25="","",IF(AND(COUNT(E25:G25)=3,MIN(E25:G25)&gt;=1,MAX(E25:G25)&lt;=5,MOD(E25,1)=0,MOD(F25,1)=0,MOD(G25,1)=0),E25*F25*G25,""))</x:f>
      </x:c>
      <x:c r="I25" s="46"/>
      <x:c r="J25" s="46"/>
      <x:c r="K25" s="88"/>
      <x:c r="L25" s="46"/>
      <x:c r="M25" s="46"/>
      <x:c r="N25" s="46"/>
      <x:c r="O25" s="46"/>
      <x:c r="P25" s="83" t="str">
        <x:f>IF(A25="","",IF(AND(OR(L25="Verified",L25="Closed"),COUNT(M25:O25)=3,MIN(M25:O25)&gt;=1,MAX(M25:O25)&lt;=5,MOD(M25,1)=0,MOD(N25,1)=0,MOD(O25,1)=0),M25*N25*O25,""))</x:f>
      </x:c>
      <x:c r="Q25" s="83" t="str">
        <x:f>IF(A25="","",IF(NOT(ISNUMBER(H25)),"Complete valid current ratings",IF(E25&gt;='01 Setup'!$B$23,"MANDATORY severity review",IF(AND(OR(L25="Verified",L25="Closed"),NOT(ISNUMBER(P25))),"Complete valid residual ratings",IF(AND(COUNT(M25:O25)&gt;0,NOT(OR(L25="Verified",L25="Closed"))),"Residual ratings not yet verified","Review controls and evidence")))))</x:f>
      </x:c>
      <x:c r="R25" s="3"/>
    </x:row>
    <x:row r="26" ht="34" customHeight="1">
      <x:c r="A26" s="46"/>
      <x:c r="B26" s="46"/>
      <x:c r="C26" s="46"/>
      <x:c r="D26" s="46"/>
      <x:c r="E26" s="46"/>
      <x:c r="F26" s="46"/>
      <x:c r="G26" s="46"/>
      <x:c r="H26" s="83" t="str">
        <x:f>IF(A26="","",IF(AND(COUNT(E26:G26)=3,MIN(E26:G26)&gt;=1,MAX(E26:G26)&lt;=5,MOD(E26,1)=0,MOD(F26,1)=0,MOD(G26,1)=0),E26*F26*G26,""))</x:f>
      </x:c>
      <x:c r="I26" s="46"/>
      <x:c r="J26" s="46"/>
      <x:c r="K26" s="88"/>
      <x:c r="L26" s="46"/>
      <x:c r="M26" s="46"/>
      <x:c r="N26" s="46"/>
      <x:c r="O26" s="46"/>
      <x:c r="P26" s="83" t="str">
        <x:f>IF(A26="","",IF(AND(OR(L26="Verified",L26="Closed"),COUNT(M26:O26)=3,MIN(M26:O26)&gt;=1,MAX(M26:O26)&lt;=5,MOD(M26,1)=0,MOD(N26,1)=0,MOD(O26,1)=0),M26*N26*O26,""))</x:f>
      </x:c>
      <x:c r="Q26" s="83" t="str">
        <x:f>IF(A26="","",IF(NOT(ISNUMBER(H26)),"Complete valid current ratings",IF(E26&gt;='01 Setup'!$B$23,"MANDATORY severity review",IF(AND(OR(L26="Verified",L26="Closed"),NOT(ISNUMBER(P26))),"Complete valid residual ratings",IF(AND(COUNT(M26:O26)&gt;0,NOT(OR(L26="Verified",L26="Closed"))),"Residual ratings not yet verified","Review controls and evidence")))))</x:f>
      </x:c>
      <x:c r="R26" s="3"/>
    </x:row>
    <x:row r="27" ht="34" customHeight="1">
      <x:c r="A27" s="46"/>
      <x:c r="B27" s="46"/>
      <x:c r="C27" s="46"/>
      <x:c r="D27" s="46"/>
      <x:c r="E27" s="46"/>
      <x:c r="F27" s="46"/>
      <x:c r="G27" s="46"/>
      <x:c r="H27" s="83" t="str">
        <x:f>IF(A27="","",IF(AND(COUNT(E27:G27)=3,MIN(E27:G27)&gt;=1,MAX(E27:G27)&lt;=5,MOD(E27,1)=0,MOD(F27,1)=0,MOD(G27,1)=0),E27*F27*G27,""))</x:f>
      </x:c>
      <x:c r="I27" s="46"/>
      <x:c r="J27" s="46"/>
      <x:c r="K27" s="88"/>
      <x:c r="L27" s="46"/>
      <x:c r="M27" s="46"/>
      <x:c r="N27" s="46"/>
      <x:c r="O27" s="46"/>
      <x:c r="P27" s="83" t="str">
        <x:f>IF(A27="","",IF(AND(OR(L27="Verified",L27="Closed"),COUNT(M27:O27)=3,MIN(M27:O27)&gt;=1,MAX(M27:O27)&lt;=5,MOD(M27,1)=0,MOD(N27,1)=0,MOD(O27,1)=0),M27*N27*O27,""))</x:f>
      </x:c>
      <x:c r="Q27" s="83" t="str">
        <x:f>IF(A27="","",IF(NOT(ISNUMBER(H27)),"Complete valid current ratings",IF(E27&gt;='01 Setup'!$B$23,"MANDATORY severity review",IF(AND(OR(L27="Verified",L27="Closed"),NOT(ISNUMBER(P27))),"Complete valid residual ratings",IF(AND(COUNT(M27:O27)&gt;0,NOT(OR(L27="Verified",L27="Closed"))),"Residual ratings not yet verified","Review controls and evidence")))))</x:f>
      </x:c>
      <x:c r="R27" s="3"/>
    </x:row>
    <x:row r="28" ht="34" customHeight="1">
      <x:c r="A28" s="46"/>
      <x:c r="B28" s="46"/>
      <x:c r="C28" s="46"/>
      <x:c r="D28" s="46"/>
      <x:c r="E28" s="46"/>
      <x:c r="F28" s="46"/>
      <x:c r="G28" s="46"/>
      <x:c r="H28" s="83" t="str">
        <x:f>IF(A28="","",IF(AND(COUNT(E28:G28)=3,MIN(E28:G28)&gt;=1,MAX(E28:G28)&lt;=5,MOD(E28,1)=0,MOD(F28,1)=0,MOD(G28,1)=0),E28*F28*G28,""))</x:f>
      </x:c>
      <x:c r="I28" s="46"/>
      <x:c r="J28" s="46"/>
      <x:c r="K28" s="88"/>
      <x:c r="L28" s="46"/>
      <x:c r="M28" s="46"/>
      <x:c r="N28" s="46"/>
      <x:c r="O28" s="46"/>
      <x:c r="P28" s="83" t="str">
        <x:f>IF(A28="","",IF(AND(OR(L28="Verified",L28="Closed"),COUNT(M28:O28)=3,MIN(M28:O28)&gt;=1,MAX(M28:O28)&lt;=5,MOD(M28,1)=0,MOD(N28,1)=0,MOD(O28,1)=0),M28*N28*O28,""))</x:f>
      </x:c>
      <x:c r="Q28" s="83" t="str">
        <x:f>IF(A28="","",IF(NOT(ISNUMBER(H28)),"Complete valid current ratings",IF(E28&gt;='01 Setup'!$B$23,"MANDATORY severity review",IF(AND(OR(L28="Verified",L28="Closed"),NOT(ISNUMBER(P28))),"Complete valid residual ratings",IF(AND(COUNT(M28:O28)&gt;0,NOT(OR(L28="Verified",L28="Closed"))),"Residual ratings not yet verified","Review controls and evidence")))))</x:f>
      </x:c>
      <x:c r="R28" s="3"/>
    </x:row>
    <x:row r="29" ht="34" customHeight="1">
      <x:c r="A29" s="46"/>
      <x:c r="B29" s="46"/>
      <x:c r="C29" s="46"/>
      <x:c r="D29" s="46"/>
      <x:c r="E29" s="46"/>
      <x:c r="F29" s="46"/>
      <x:c r="G29" s="46"/>
      <x:c r="H29" s="83" t="str">
        <x:f>IF(A29="","",IF(AND(COUNT(E29:G29)=3,MIN(E29:G29)&gt;=1,MAX(E29:G29)&lt;=5,MOD(E29,1)=0,MOD(F29,1)=0,MOD(G29,1)=0),E29*F29*G29,""))</x:f>
      </x:c>
      <x:c r="I29" s="46"/>
      <x:c r="J29" s="46"/>
      <x:c r="K29" s="88"/>
      <x:c r="L29" s="46"/>
      <x:c r="M29" s="46"/>
      <x:c r="N29" s="46"/>
      <x:c r="O29" s="46"/>
      <x:c r="P29" s="83" t="str">
        <x:f>IF(A29="","",IF(AND(OR(L29="Verified",L29="Closed"),COUNT(M29:O29)=3,MIN(M29:O29)&gt;=1,MAX(M29:O29)&lt;=5,MOD(M29,1)=0,MOD(N29,1)=0,MOD(O29,1)=0),M29*N29*O29,""))</x:f>
      </x:c>
      <x:c r="Q29" s="83" t="str">
        <x:f>IF(A29="","",IF(NOT(ISNUMBER(H29)),"Complete valid current ratings",IF(E29&gt;='01 Setup'!$B$23,"MANDATORY severity review",IF(AND(OR(L29="Verified",L29="Closed"),NOT(ISNUMBER(P29))),"Complete valid residual ratings",IF(AND(COUNT(M29:O29)&gt;0,NOT(OR(L29="Verified",L29="Closed"))),"Residual ratings not yet verified","Review controls and evidence")))))</x:f>
      </x:c>
      <x:c r="R29" s="3"/>
    </x:row>
    <x:row r="30" ht="34" customHeight="1">
      <x:c r="A30" s="46"/>
      <x:c r="B30" s="46"/>
      <x:c r="C30" s="46"/>
      <x:c r="D30" s="46"/>
      <x:c r="E30" s="46"/>
      <x:c r="F30" s="46"/>
      <x:c r="G30" s="46"/>
      <x:c r="H30" s="83" t="str">
        <x:f>IF(A30="","",IF(AND(COUNT(E30:G30)=3,MIN(E30:G30)&gt;=1,MAX(E30:G30)&lt;=5,MOD(E30,1)=0,MOD(F30,1)=0,MOD(G30,1)=0),E30*F30*G30,""))</x:f>
      </x:c>
      <x:c r="I30" s="46"/>
      <x:c r="J30" s="46"/>
      <x:c r="K30" s="88"/>
      <x:c r="L30" s="46"/>
      <x:c r="M30" s="46"/>
      <x:c r="N30" s="46"/>
      <x:c r="O30" s="46"/>
      <x:c r="P30" s="83" t="str">
        <x:f>IF(A30="","",IF(AND(OR(L30="Verified",L30="Closed"),COUNT(M30:O30)=3,MIN(M30:O30)&gt;=1,MAX(M30:O30)&lt;=5,MOD(M30,1)=0,MOD(N30,1)=0,MOD(O30,1)=0),M30*N30*O30,""))</x:f>
      </x:c>
      <x:c r="Q30" s="83" t="str">
        <x:f>IF(A30="","",IF(NOT(ISNUMBER(H30)),"Complete valid current ratings",IF(E30&gt;='01 Setup'!$B$23,"MANDATORY severity review",IF(AND(OR(L30="Verified",L30="Closed"),NOT(ISNUMBER(P30))),"Complete valid residual ratings",IF(AND(COUNT(M30:O30)&gt;0,NOT(OR(L30="Verified",L30="Closed"))),"Residual ratings not yet verified","Review controls and evidence")))))</x:f>
      </x:c>
      <x:c r="R30" s="3"/>
    </x:row>
    <x:row r="31" ht="34" customHeight="1">
      <x:c r="A31" s="46"/>
      <x:c r="B31" s="46"/>
      <x:c r="C31" s="46"/>
      <x:c r="D31" s="46"/>
      <x:c r="E31" s="46"/>
      <x:c r="F31" s="46"/>
      <x:c r="G31" s="46"/>
      <x:c r="H31" s="83" t="str">
        <x:f>IF(A31="","",IF(AND(COUNT(E31:G31)=3,MIN(E31:G31)&gt;=1,MAX(E31:G31)&lt;=5,MOD(E31,1)=0,MOD(F31,1)=0,MOD(G31,1)=0),E31*F31*G31,""))</x:f>
      </x:c>
      <x:c r="I31" s="46"/>
      <x:c r="J31" s="46"/>
      <x:c r="K31" s="88"/>
      <x:c r="L31" s="46"/>
      <x:c r="M31" s="46"/>
      <x:c r="N31" s="46"/>
      <x:c r="O31" s="46"/>
      <x:c r="P31" s="83" t="str">
        <x:f>IF(A31="","",IF(AND(OR(L31="Verified",L31="Closed"),COUNT(M31:O31)=3,MIN(M31:O31)&gt;=1,MAX(M31:O31)&lt;=5,MOD(M31,1)=0,MOD(N31,1)=0,MOD(O31,1)=0),M31*N31*O31,""))</x:f>
      </x:c>
      <x:c r="Q31" s="83" t="str">
        <x:f>IF(A31="","",IF(NOT(ISNUMBER(H31)),"Complete valid current ratings",IF(E31&gt;='01 Setup'!$B$23,"MANDATORY severity review",IF(AND(OR(L31="Verified",L31="Closed"),NOT(ISNUMBER(P31))),"Complete valid residual ratings",IF(AND(COUNT(M31:O31)&gt;0,NOT(OR(L31="Verified",L31="Closed"))),"Residual ratings not yet verified","Review controls and evidence")))))</x:f>
      </x:c>
      <x:c r="R31" s="3"/>
    </x:row>
    <x:row r="32" ht="34" customHeight="1">
      <x:c r="A32" s="46"/>
      <x:c r="B32" s="46"/>
      <x:c r="C32" s="46"/>
      <x:c r="D32" s="46"/>
      <x:c r="E32" s="46"/>
      <x:c r="F32" s="46"/>
      <x:c r="G32" s="46"/>
      <x:c r="H32" s="83" t="str">
        <x:f>IF(A32="","",IF(AND(COUNT(E32:G32)=3,MIN(E32:G32)&gt;=1,MAX(E32:G32)&lt;=5,MOD(E32,1)=0,MOD(F32,1)=0,MOD(G32,1)=0),E32*F32*G32,""))</x:f>
      </x:c>
      <x:c r="I32" s="46"/>
      <x:c r="J32" s="46"/>
      <x:c r="K32" s="88"/>
      <x:c r="L32" s="46"/>
      <x:c r="M32" s="46"/>
      <x:c r="N32" s="46"/>
      <x:c r="O32" s="46"/>
      <x:c r="P32" s="83" t="str">
        <x:f>IF(A32="","",IF(AND(OR(L32="Verified",L32="Closed"),COUNT(M32:O32)=3,MIN(M32:O32)&gt;=1,MAX(M32:O32)&lt;=5,MOD(M32,1)=0,MOD(N32,1)=0,MOD(O32,1)=0),M32*N32*O32,""))</x:f>
      </x:c>
      <x:c r="Q32" s="83" t="str">
        <x:f>IF(A32="","",IF(NOT(ISNUMBER(H32)),"Complete valid current ratings",IF(E32&gt;='01 Setup'!$B$23,"MANDATORY severity review",IF(AND(OR(L32="Verified",L32="Closed"),NOT(ISNUMBER(P32))),"Complete valid residual ratings",IF(AND(COUNT(M32:O32)&gt;0,NOT(OR(L32="Verified",L32="Closed"))),"Residual ratings not yet verified","Review controls and evidence")))))</x:f>
      </x:c>
      <x:c r="R32" s="3"/>
    </x:row>
    <x:row r="33" ht="34" customHeight="1">
      <x:c r="A33" s="46"/>
      <x:c r="B33" s="46"/>
      <x:c r="C33" s="46"/>
      <x:c r="D33" s="46"/>
      <x:c r="E33" s="46"/>
      <x:c r="F33" s="46"/>
      <x:c r="G33" s="46"/>
      <x:c r="H33" s="83" t="str">
        <x:f>IF(A33="","",IF(AND(COUNT(E33:G33)=3,MIN(E33:G33)&gt;=1,MAX(E33:G33)&lt;=5,MOD(E33,1)=0,MOD(F33,1)=0,MOD(G33,1)=0),E33*F33*G33,""))</x:f>
      </x:c>
      <x:c r="I33" s="46"/>
      <x:c r="J33" s="46"/>
      <x:c r="K33" s="88"/>
      <x:c r="L33" s="46"/>
      <x:c r="M33" s="46"/>
      <x:c r="N33" s="46"/>
      <x:c r="O33" s="46"/>
      <x:c r="P33" s="83" t="str">
        <x:f>IF(A33="","",IF(AND(OR(L33="Verified",L33="Closed"),COUNT(M33:O33)=3,MIN(M33:O33)&gt;=1,MAX(M33:O33)&lt;=5,MOD(M33,1)=0,MOD(N33,1)=0,MOD(O33,1)=0),M33*N33*O33,""))</x:f>
      </x:c>
      <x:c r="Q33" s="83" t="str">
        <x:f>IF(A33="","",IF(NOT(ISNUMBER(H33)),"Complete valid current ratings",IF(E33&gt;='01 Setup'!$B$23,"MANDATORY severity review",IF(AND(OR(L33="Verified",L33="Closed"),NOT(ISNUMBER(P33))),"Complete valid residual ratings",IF(AND(COUNT(M33:O33)&gt;0,NOT(OR(L33="Verified",L33="Closed"))),"Residual ratings not yet verified","Review controls and evidence")))))</x:f>
      </x:c>
      <x:c r="R33" s="3"/>
    </x:row>
    <x:row r="34" ht="34" customHeight="1">
      <x:c r="A34" s="46"/>
      <x:c r="B34" s="46"/>
      <x:c r="C34" s="46"/>
      <x:c r="D34" s="46"/>
      <x:c r="E34" s="46"/>
      <x:c r="F34" s="46"/>
      <x:c r="G34" s="46"/>
      <x:c r="H34" s="83" t="str">
        <x:f>IF(A34="","",IF(AND(COUNT(E34:G34)=3,MIN(E34:G34)&gt;=1,MAX(E34:G34)&lt;=5,MOD(E34,1)=0,MOD(F34,1)=0,MOD(G34,1)=0),E34*F34*G34,""))</x:f>
      </x:c>
      <x:c r="I34" s="46"/>
      <x:c r="J34" s="46"/>
      <x:c r="K34" s="88"/>
      <x:c r="L34" s="46"/>
      <x:c r="M34" s="46"/>
      <x:c r="N34" s="46"/>
      <x:c r="O34" s="46"/>
      <x:c r="P34" s="83" t="str">
        <x:f>IF(A34="","",IF(AND(OR(L34="Verified",L34="Closed"),COUNT(M34:O34)=3,MIN(M34:O34)&gt;=1,MAX(M34:O34)&lt;=5,MOD(M34,1)=0,MOD(N34,1)=0,MOD(O34,1)=0),M34*N34*O34,""))</x:f>
      </x:c>
      <x:c r="Q34" s="83" t="str">
        <x:f>IF(A34="","",IF(NOT(ISNUMBER(H34)),"Complete valid current ratings",IF(E34&gt;='01 Setup'!$B$23,"MANDATORY severity review",IF(AND(OR(L34="Verified",L34="Closed"),NOT(ISNUMBER(P34))),"Complete valid residual ratings",IF(AND(COUNT(M34:O34)&gt;0,NOT(OR(L34="Verified",L34="Closed"))),"Residual ratings not yet verified","Review controls and evidence")))))</x:f>
      </x:c>
      <x:c r="R34" s="3"/>
    </x:row>
    <x:row r="35" ht="34" customHeight="1">
      <x:c r="A35" s="46"/>
      <x:c r="B35" s="46"/>
      <x:c r="C35" s="46"/>
      <x:c r="D35" s="46"/>
      <x:c r="E35" s="46"/>
      <x:c r="F35" s="46"/>
      <x:c r="G35" s="46"/>
      <x:c r="H35" s="83" t="str">
        <x:f>IF(A35="","",IF(AND(COUNT(E35:G35)=3,MIN(E35:G35)&gt;=1,MAX(E35:G35)&lt;=5,MOD(E35,1)=0,MOD(F35,1)=0,MOD(G35,1)=0),E35*F35*G35,""))</x:f>
      </x:c>
      <x:c r="I35" s="46"/>
      <x:c r="J35" s="46"/>
      <x:c r="K35" s="88"/>
      <x:c r="L35" s="46"/>
      <x:c r="M35" s="46"/>
      <x:c r="N35" s="46"/>
      <x:c r="O35" s="46"/>
      <x:c r="P35" s="83" t="str">
        <x:f>IF(A35="","",IF(AND(OR(L35="Verified",L35="Closed"),COUNT(M35:O35)=3,MIN(M35:O35)&gt;=1,MAX(M35:O35)&lt;=5,MOD(M35,1)=0,MOD(N35,1)=0,MOD(O35,1)=0),M35*N35*O35,""))</x:f>
      </x:c>
      <x:c r="Q35" s="83" t="str">
        <x:f>IF(A35="","",IF(NOT(ISNUMBER(H35)),"Complete valid current ratings",IF(E35&gt;='01 Setup'!$B$23,"MANDATORY severity review",IF(AND(OR(L35="Verified",L35="Closed"),NOT(ISNUMBER(P35))),"Complete valid residual ratings",IF(AND(COUNT(M35:O35)&gt;0,NOT(OR(L35="Verified",L35="Closed"))),"Residual ratings not yet verified","Review controls and evidence")))))</x:f>
      </x:c>
      <x:c r="R35" s="3"/>
    </x:row>
    <x:row r="36" ht="34" customHeight="1">
      <x:c r="A36" s="46"/>
      <x:c r="B36" s="46"/>
      <x:c r="C36" s="46"/>
      <x:c r="D36" s="46"/>
      <x:c r="E36" s="46"/>
      <x:c r="F36" s="46"/>
      <x:c r="G36" s="46"/>
      <x:c r="H36" s="83" t="str">
        <x:f>IF(A36="","",IF(AND(COUNT(E36:G36)=3,MIN(E36:G36)&gt;=1,MAX(E36:G36)&lt;=5,MOD(E36,1)=0,MOD(F36,1)=0,MOD(G36,1)=0),E36*F36*G36,""))</x:f>
      </x:c>
      <x:c r="I36" s="46"/>
      <x:c r="J36" s="46"/>
      <x:c r="K36" s="88"/>
      <x:c r="L36" s="46"/>
      <x:c r="M36" s="46"/>
      <x:c r="N36" s="46"/>
      <x:c r="O36" s="46"/>
      <x:c r="P36" s="83" t="str">
        <x:f>IF(A36="","",IF(AND(OR(L36="Verified",L36="Closed"),COUNT(M36:O36)=3,MIN(M36:O36)&gt;=1,MAX(M36:O36)&lt;=5,MOD(M36,1)=0,MOD(N36,1)=0,MOD(O36,1)=0),M36*N36*O36,""))</x:f>
      </x:c>
      <x:c r="Q36" s="83" t="str">
        <x:f>IF(A36="","",IF(NOT(ISNUMBER(H36)),"Complete valid current ratings",IF(E36&gt;='01 Setup'!$B$23,"MANDATORY severity review",IF(AND(OR(L36="Verified",L36="Closed"),NOT(ISNUMBER(P36))),"Complete valid residual ratings",IF(AND(COUNT(M36:O36)&gt;0,NOT(OR(L36="Verified",L36="Closed"))),"Residual ratings not yet verified","Review controls and evidence")))))</x:f>
      </x:c>
      <x:c r="R36" s="3"/>
    </x:row>
    <x:row r="37" ht="34" customHeight="1">
      <x:c r="A37" s="46"/>
      <x:c r="B37" s="46"/>
      <x:c r="C37" s="46"/>
      <x:c r="D37" s="46"/>
      <x:c r="E37" s="46"/>
      <x:c r="F37" s="46"/>
      <x:c r="G37" s="46"/>
      <x:c r="H37" s="83" t="str">
        <x:f>IF(A37="","",IF(AND(COUNT(E37:G37)=3,MIN(E37:G37)&gt;=1,MAX(E37:G37)&lt;=5,MOD(E37,1)=0,MOD(F37,1)=0,MOD(G37,1)=0),E37*F37*G37,""))</x:f>
      </x:c>
      <x:c r="I37" s="46"/>
      <x:c r="J37" s="46"/>
      <x:c r="K37" s="88"/>
      <x:c r="L37" s="46"/>
      <x:c r="M37" s="46"/>
      <x:c r="N37" s="46"/>
      <x:c r="O37" s="46"/>
      <x:c r="P37" s="83" t="str">
        <x:f>IF(A37="","",IF(AND(OR(L37="Verified",L37="Closed"),COUNT(M37:O37)=3,MIN(M37:O37)&gt;=1,MAX(M37:O37)&lt;=5,MOD(M37,1)=0,MOD(N37,1)=0,MOD(O37,1)=0),M37*N37*O37,""))</x:f>
      </x:c>
      <x:c r="Q37" s="83" t="str">
        <x:f>IF(A37="","",IF(NOT(ISNUMBER(H37)),"Complete valid current ratings",IF(E37&gt;='01 Setup'!$B$23,"MANDATORY severity review",IF(AND(OR(L37="Verified",L37="Closed"),NOT(ISNUMBER(P37))),"Complete valid residual ratings",IF(AND(COUNT(M37:O37)&gt;0,NOT(OR(L37="Verified",L37="Closed"))),"Residual ratings not yet verified","Review controls and evidence")))))</x:f>
      </x:c>
      <x:c r="R37" s="3"/>
    </x:row>
    <x:row r="38" ht="34" customHeight="1">
      <x:c r="A38" s="46"/>
      <x:c r="B38" s="46"/>
      <x:c r="C38" s="46"/>
      <x:c r="D38" s="46"/>
      <x:c r="E38" s="46"/>
      <x:c r="F38" s="46"/>
      <x:c r="G38" s="46"/>
      <x:c r="H38" s="83" t="str">
        <x:f>IF(A38="","",IF(AND(COUNT(E38:G38)=3,MIN(E38:G38)&gt;=1,MAX(E38:G38)&lt;=5,MOD(E38,1)=0,MOD(F38,1)=0,MOD(G38,1)=0),E38*F38*G38,""))</x:f>
      </x:c>
      <x:c r="I38" s="46"/>
      <x:c r="J38" s="46"/>
      <x:c r="K38" s="88"/>
      <x:c r="L38" s="46"/>
      <x:c r="M38" s="46"/>
      <x:c r="N38" s="46"/>
      <x:c r="O38" s="46"/>
      <x:c r="P38" s="83" t="str">
        <x:f>IF(A38="","",IF(AND(OR(L38="Verified",L38="Closed"),COUNT(M38:O38)=3,MIN(M38:O38)&gt;=1,MAX(M38:O38)&lt;=5,MOD(M38,1)=0,MOD(N38,1)=0,MOD(O38,1)=0),M38*N38*O38,""))</x:f>
      </x:c>
      <x:c r="Q38" s="83" t="str">
        <x:f>IF(A38="","",IF(NOT(ISNUMBER(H38)),"Complete valid current ratings",IF(E38&gt;='01 Setup'!$B$23,"MANDATORY severity review",IF(AND(OR(L38="Verified",L38="Closed"),NOT(ISNUMBER(P38))),"Complete valid residual ratings",IF(AND(COUNT(M38:O38)&gt;0,NOT(OR(L38="Verified",L38="Closed"))),"Residual ratings not yet verified","Review controls and evidence")))))</x:f>
      </x:c>
      <x:c r="R38" s="3"/>
    </x:row>
    <x:row r="39" ht="34" customHeight="1">
      <x:c r="A39" s="46"/>
      <x:c r="B39" s="46"/>
      <x:c r="C39" s="46"/>
      <x:c r="D39" s="46"/>
      <x:c r="E39" s="46"/>
      <x:c r="F39" s="46"/>
      <x:c r="G39" s="46"/>
      <x:c r="H39" s="83" t="str">
        <x:f>IF(A39="","",IF(AND(COUNT(E39:G39)=3,MIN(E39:G39)&gt;=1,MAX(E39:G39)&lt;=5,MOD(E39,1)=0,MOD(F39,1)=0,MOD(G39,1)=0),E39*F39*G39,""))</x:f>
      </x:c>
      <x:c r="I39" s="46"/>
      <x:c r="J39" s="46"/>
      <x:c r="K39" s="88"/>
      <x:c r="L39" s="46"/>
      <x:c r="M39" s="46"/>
      <x:c r="N39" s="46"/>
      <x:c r="O39" s="46"/>
      <x:c r="P39" s="83" t="str">
        <x:f>IF(A39="","",IF(AND(OR(L39="Verified",L39="Closed"),COUNT(M39:O39)=3,MIN(M39:O39)&gt;=1,MAX(M39:O39)&lt;=5,MOD(M39,1)=0,MOD(N39,1)=0,MOD(O39,1)=0),M39*N39*O39,""))</x:f>
      </x:c>
      <x:c r="Q39" s="83" t="str">
        <x:f>IF(A39="","",IF(NOT(ISNUMBER(H39)),"Complete valid current ratings",IF(E39&gt;='01 Setup'!$B$23,"MANDATORY severity review",IF(AND(OR(L39="Verified",L39="Closed"),NOT(ISNUMBER(P39))),"Complete valid residual ratings",IF(AND(COUNT(M39:O39)&gt;0,NOT(OR(L39="Verified",L39="Closed"))),"Residual ratings not yet verified","Review controls and evidence")))))</x:f>
      </x:c>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20" customHeight="1">
      <x:c r="A42" s="3"/>
      <x:c r="B42" s="3"/>
      <x:c r="C42" s="3"/>
      <x:c r="D42" s="3"/>
      <x:c r="E42" s="3"/>
      <x:c r="F42" s="3"/>
      <x:c r="G42" s="3"/>
      <x:c r="H42" s="3"/>
      <x:c r="I42" s="3"/>
      <x:c r="J42" s="3"/>
      <x:c r="K42" s="3"/>
      <x:c r="L42" s="3"/>
      <x:c r="M42" s="3"/>
      <x:c r="N42" s="3"/>
      <x:c r="O42" s="3"/>
      <x:c r="P42" s="3"/>
      <x:c r="Q42" s="3"/>
      <x:c r="R42" s="3"/>
    </x:row>
    <x:row r="43" ht="20" customHeight="1">
      <x:c r="A43" s="17" t="str">
        <x:v>LOCAL ORDINAL SCALE, NOT PROBABILITY. Severity 4-5 requires review regardless of product. Residual products appear only after status Verified/Closed and valid residual ratings. A status entry is not evidence by itself; record verification in the action/evidence record. See the manual's F09 anchor page.</x:v>
      </x:c>
      <x:c r="B43" s="17"/>
      <x:c r="C43" s="17"/>
      <x:c r="D43" s="17"/>
      <x:c r="E43" s="17"/>
      <x:c r="F43" s="17"/>
      <x:c r="G43" s="17"/>
      <x:c r="H43" s="17"/>
      <x:c r="I43" s="17"/>
      <x:c r="J43" s="17"/>
      <x:c r="K43" s="17"/>
      <x:c r="L43" s="17"/>
      <x:c r="M43" s="3"/>
      <x:c r="N43" s="3"/>
      <x:c r="O43" s="3"/>
      <x:c r="P43" s="3"/>
      <x:c r="Q43" s="3"/>
      <x:c r="R43" s="3"/>
    </x:row>
    <x:row r="44" ht="20" customHeight="1">
      <x:c r="A44" s="17"/>
      <x:c r="B44" s="17"/>
      <x:c r="C44" s="17"/>
      <x:c r="D44" s="17"/>
      <x:c r="E44" s="17"/>
      <x:c r="F44" s="17"/>
      <x:c r="G44" s="17"/>
      <x:c r="H44" s="17"/>
      <x:c r="I44" s="17"/>
      <x:c r="J44" s="17"/>
      <x:c r="K44" s="17"/>
      <x:c r="L44" s="17"/>
      <x:c r="M44" s="3"/>
      <x:c r="N44" s="3"/>
      <x:c r="O44" s="3"/>
      <x:c r="P44" s="3"/>
      <x:c r="Q44" s="3"/>
      <x:c r="R44" s="3"/>
    </x:row>
    <x:row r="45" ht="20" customHeight="1">
      <x:c r="A45" s="17"/>
      <x:c r="B45" s="17"/>
      <x:c r="C45" s="17"/>
      <x:c r="D45" s="17"/>
      <x:c r="E45" s="17"/>
      <x:c r="F45" s="17"/>
      <x:c r="G45" s="17"/>
      <x:c r="H45" s="17"/>
      <x:c r="I45" s="17"/>
      <x:c r="J45" s="17"/>
      <x:c r="K45" s="17"/>
      <x:c r="L45" s="17"/>
      <x:c r="M45" s="3"/>
      <x:c r="N45" s="3"/>
      <x:c r="O45" s="3"/>
      <x:c r="P45" s="3"/>
      <x:c r="Q45" s="3"/>
      <x:c r="R45" s="3"/>
    </x:row>
    <x:row r="46" ht="20" customHeight="1">
      <x:c r="A46" s="17"/>
      <x:c r="B46" s="17"/>
      <x:c r="C46" s="17"/>
      <x:c r="D46" s="17"/>
      <x:c r="E46" s="17"/>
      <x:c r="F46" s="17"/>
      <x:c r="G46" s="17"/>
      <x:c r="H46" s="17"/>
      <x:c r="I46" s="17"/>
      <x:c r="J46" s="17"/>
      <x:c r="K46" s="17"/>
      <x:c r="L46" s="17"/>
      <x:c r="M46" s="3"/>
      <x:c r="N46" s="3"/>
      <x:c r="O46" s="3"/>
      <x:c r="P46" s="3"/>
      <x:c r="Q46" s="3"/>
      <x:c r="R46" s="3"/>
    </x:row>
    <x:row r="47" ht="20" customHeight="1">
      <x:c r="A47" s="17"/>
      <x:c r="B47" s="17"/>
      <x:c r="C47" s="17"/>
      <x:c r="D47" s="17"/>
      <x:c r="E47" s="17"/>
      <x:c r="F47" s="17"/>
      <x:c r="G47" s="17"/>
      <x:c r="H47" s="17"/>
      <x:c r="I47" s="17"/>
      <x:c r="J47" s="17"/>
      <x:c r="K47" s="17"/>
      <x:c r="L47" s="17"/>
      <x:c r="M47" s="3"/>
      <x:c r="N47" s="3"/>
      <x:c r="O47" s="3"/>
      <x:c r="P47" s="3"/>
      <x:c r="Q47" s="3"/>
      <x:c r="R47" s="3"/>
    </x:row>
    <x:row r="48" ht="20" customHeight="1">
      <x:c r="A48" s="17"/>
      <x:c r="B48" s="17"/>
      <x:c r="C48" s="17"/>
      <x:c r="D48" s="17"/>
      <x:c r="E48" s="17"/>
      <x:c r="F48" s="17"/>
      <x:c r="G48" s="17"/>
      <x:c r="H48" s="17"/>
      <x:c r="I48" s="17"/>
      <x:c r="J48" s="17"/>
      <x:c r="K48" s="17"/>
      <x:c r="L48" s="17"/>
      <x:c r="M48" s="3"/>
      <x:c r="N48" s="3"/>
      <x:c r="O48" s="3"/>
      <x:c r="P48" s="3"/>
      <x:c r="Q48" s="3"/>
      <x:c r="R48" s="3"/>
    </x:row>
    <x:row r="49" ht="20" customHeight="1">
      <x:c r="A49" s="17"/>
      <x:c r="B49" s="17"/>
      <x:c r="C49" s="17"/>
      <x:c r="D49" s="17"/>
      <x:c r="E49" s="17"/>
      <x:c r="F49" s="17"/>
      <x:c r="G49" s="17"/>
      <x:c r="H49" s="17"/>
      <x:c r="I49" s="17"/>
      <x:c r="J49" s="17"/>
      <x:c r="K49" s="17"/>
      <x:c r="L49" s="17"/>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F09</x:v>
      </x:c>
      <x:c r="B110" s="34"/>
      <x:c r="C110" s="34"/>
      <x:c r="D110" s="34"/>
      <x:c r="E110" s="34"/>
      <x:c r="F110" s="34"/>
      <x:c r="G110" s="34"/>
      <x:c r="H110" s="34"/>
      <x:c r="I110" s="34"/>
      <x:c r="J110" s="34"/>
      <x:c r="K110" s="34"/>
      <x:c r="L110" s="34"/>
      <x:c r="M110" s="3"/>
      <x:c r="N110" s="3"/>
      <x:c r="O110" s="3"/>
      <x:c r="P110" s="3"/>
      <x:c r="Q110" s="3"/>
      <x:c r="R110" s="3"/>
    </x:row>
    <x:row r="111" ht="20" customHeight="1">
      <x:c r="A111" s="40" t="str">
        <x:v>01  Step and failure mode</x:v>
      </x:c>
      <x:c r="B111" s="40"/>
      <x:c r="C111" s="40"/>
      <x:c r="D111" s="17" t="str">
        <x:v>Define the specific process failure.</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Effect and cause</x:v>
      </x:c>
      <x:c r="B117" s="40"/>
      <x:c r="C117" s="40"/>
      <x:c r="D117" s="17" t="str">
        <x:v>Describe consequence and mechanism.</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Existing controls</x:v>
      </x:c>
      <x:c r="B123" s="40"/>
      <x:c r="C123" s="40"/>
      <x:c r="D123" s="17" t="str">
        <x:v>Identify prevention and detection.</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Ratings and priority</x:v>
      </x:c>
      <x:c r="B129" s="40"/>
      <x:c r="C129" s="40"/>
      <x:c r="D129" s="17" t="str">
        <x:v>Apply the local anchors consistently.</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Action and verification</x:v>
      </x:c>
      <x:c r="B135" s="40"/>
      <x:c r="C135" s="40"/>
      <x:c r="D135" s="17" t="str">
        <x:v>Strengthen controls with evidence.</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Residual review</x:v>
      </x:c>
      <x:c r="B141" s="40"/>
      <x:c r="C141" s="40"/>
      <x:c r="D141" s="17" t="str">
        <x:v>Reassess after action and approval.</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A risk-priority number is not a probability, expected loss or validated safety threshold. Do not average risks or let a low occurrence rating excuse a severe uncontrolled consequence. Specialist risk assessment may be required.</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F04, F05, A03  |  METHOD SOURCES: R27, R28, U03</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 ref="A43:L49"/>
  </x:mergeCells>
  <x:conditionalFormatting sqref="Q10:Q39">
    <x:cfRule type="expression" dxfId="2" priority="1">
      <x:formula>$E10&gt;='01 Setup'!$B$23</x:formula>
    </x:cfRule>
  </x:conditionalFormatting>
  <x:dataValidations count="3">
    <x:dataValidation type="list" sqref="E10:G39">
      <x:formula1>"1,2,3,4,5"</x:formula1>
    </x:dataValidation>
    <x:dataValidation type="list" sqref="M10:O39">
      <x:formula1>"1,2,3,4,5"</x:formula1>
    </x:dataValidation>
    <x:dataValidation type="list" sqref="L10:L39">
      <x:formula1>"Proposed,In progress,Verified,Closed,Hold"</x:formula1>
    </x:dataValidation>
  </x:dataValidations>
  <x:pageMargins left="0.7" right="0.7" top="0.75" bottom="0.75" header="0.3" footer="0.3"/>
</x:worksheet>
</file>

<file path=xl/worksheets/sheet73.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F10  Kaizen event design and facilitation</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Run a focused improvement event that produces tested learning and owned follow-through.</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F10</x:v>
      </x:c>
      <x:c r="B9" s="34"/>
      <x:c r="C9" s="34"/>
      <x:c r="D9" s="34"/>
      <x:c r="E9" s="34"/>
      <x:c r="F9" s="34"/>
      <x:c r="G9" s="34"/>
      <x:c r="H9" s="34"/>
      <x:c r="I9" s="34"/>
      <x:c r="J9" s="34"/>
      <x:c r="K9" s="34"/>
      <x:c r="L9" s="34"/>
      <x:c r="M9" s="3"/>
      <x:c r="N9" s="3"/>
      <x:c r="O9" s="3"/>
      <x:c r="P9" s="3"/>
      <x:c r="Q9" s="3"/>
      <x:c r="R9" s="3"/>
    </x:row>
    <x:row r="10" ht="20" customHeight="1">
      <x:c r="A10" s="40" t="str">
        <x:v>01  Event contract</x:v>
      </x:c>
      <x:c r="B10" s="40"/>
      <x:c r="C10" s="40"/>
      <x:c r="D10" s="17" t="str">
        <x:v>State problem, scope and authority.</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Participants and preparation</x:v>
      </x:c>
      <x:c r="B16" s="40"/>
      <x:c r="C16" s="40"/>
      <x:c r="D16" s="17" t="str">
        <x:v>Ensure the right people and evidence.</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Current-state enquiry</x:v>
      </x:c>
      <x:c r="B22" s="40"/>
      <x:c r="C22" s="40"/>
      <x:c r="D22" s="17" t="str">
        <x:v>Plan observation and analysis.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Countermeasures and tests</x:v>
      </x:c>
      <x:c r="B28" s="40"/>
      <x:c r="C28" s="40"/>
      <x:c r="D28" s="17" t="str">
        <x:v>Connect ideas to predictions.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Study and report-out</x:v>
      </x:c>
      <x:c r="B34" s="40"/>
      <x:c r="C34" s="40"/>
      <x:c r="D34" s="17" t="str">
        <x:v>Present learning and limits.</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Follow-through</x:v>
      </x:c>
      <x:c r="B40" s="40"/>
      <x:c r="C40" s="40"/>
      <x:c r="D40" s="17" t="str">
        <x:v>Assign actions, reviews and ownership.</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Do not claim implementation or savings because an event produced a future-state map. A workshop vote does not override controls. Large or sensitive changes may need further testing and formal approval after the event.</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P13, D01, S12, A03, C03  |  METHOD SOURCES: U03, U04, R12, R40</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74.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F11  Simplify-before-automating assessment</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Decide whether automation improves the process rather than accelerating its defects.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F11</x:v>
      </x:c>
      <x:c r="B9" s="34"/>
      <x:c r="C9" s="34"/>
      <x:c r="D9" s="34"/>
      <x:c r="E9" s="34"/>
      <x:c r="F9" s="34"/>
      <x:c r="G9" s="34"/>
      <x:c r="H9" s="34"/>
      <x:c r="I9" s="34"/>
      <x:c r="J9" s="34"/>
      <x:c r="K9" s="34"/>
      <x:c r="L9" s="34"/>
      <x:c r="M9" s="3"/>
      <x:c r="N9" s="3"/>
      <x:c r="O9" s="3"/>
      <x:c r="P9" s="3"/>
      <x:c r="Q9" s="3"/>
      <x:c r="R9" s="3"/>
    </x:row>
    <x:row r="10" ht="20" customHeight="1">
      <x:c r="A10" s="40" t="str">
        <x:v>01  Process and necessity</x:v>
      </x:c>
      <x:c r="B10" s="40"/>
      <x:c r="C10" s="40"/>
      <x:c r="D10" s="17" t="str">
        <x:v>State the work and simpler alternatives.</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Rules and exceptions</x:v>
      </x:c>
      <x:c r="B16" s="40"/>
      <x:c r="C16" s="40"/>
      <x:c r="D16" s="17" t="str">
        <x:v>Define deterministic work and human judgement.</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Data and controls</x:v>
      </x:c>
      <x:c r="B22" s="40"/>
      <x:c r="C22" s="40"/>
      <x:c r="D22" s="17" t="str">
        <x:v>Assess input quality, access and protection.</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Options and value</x:v>
      </x:c>
      <x:c r="B28" s="40"/>
      <x:c r="C28" s="40"/>
      <x:c r="D28" s="17" t="str">
        <x:v>Compare effort, cost and operating burden.</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Test and fallback</x:v>
      </x:c>
      <x:c r="B34" s="40"/>
      <x:c r="C34" s="40"/>
      <x:c r="D34" s="17" t="str">
        <x:v>Design safe verification.</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Ownership and approval</x:v>
      </x:c>
      <x:c r="B40" s="40"/>
      <x:c r="C40" s="40"/>
      <x:c r="D40" s="17" t="str">
        <x:v>Assign accountable operation.</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No system should silently make sensitive employment decisions merely because a workflow can be automated. This is an operational decision aid, not legal or security approval. Obtain appropriate specialist review for consequential or sensitive processing.</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F04, F09, A03, A06  |  METHOD SOURCES: U02, R13, R29</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75.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38" hidden="0" customWidth="1"/>
    <x:col min="2" max="2" width="26" hidden="0" customWidth="1"/>
    <x:col min="3" max="3" width="68"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L01  Takt time and pitch calculator</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Translate demand into a system planning rhythm without creating personal speed quotas.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0" customHeight="1">
      <x:c r="A9" s="3"/>
      <x:c r="B9" s="3"/>
      <x:c r="C9" s="3"/>
      <x:c r="D9" s="3"/>
      <x:c r="E9" s="3"/>
      <x:c r="F9" s="3"/>
      <x:c r="G9" s="3"/>
      <x:c r="H9" s="3"/>
      <x:c r="I9" s="3"/>
      <x:c r="J9" s="3"/>
      <x:c r="K9" s="3"/>
      <x:c r="L9" s="3"/>
      <x:c r="M9" s="3"/>
      <x:c r="N9" s="3"/>
      <x:c r="O9" s="3"/>
      <x:c r="P9" s="3"/>
      <x:c r="Q9" s="3"/>
      <x:c r="R9" s="3"/>
    </x:row>
    <x:row r="10" ht="38" customHeight="1">
      <x:c r="A10" s="95" t="str">
        <x:v>Net available minutes / period</x:v>
      </x:c>
      <x:c r="B10" s="108"/>
      <x:c r="C10" s="66" t="str">
        <x:v>After other commitments and breaks.</x:v>
      </x:c>
      <x:c r="D10" s="3"/>
      <x:c r="E10" s="3"/>
      <x:c r="F10" s="3"/>
      <x:c r="G10" s="3"/>
      <x:c r="H10" s="3"/>
      <x:c r="I10" s="3"/>
      <x:c r="J10" s="3"/>
      <x:c r="K10" s="3"/>
      <x:c r="L10" s="3"/>
      <x:c r="M10" s="3"/>
      <x:c r="N10" s="3"/>
      <x:c r="O10" s="3"/>
      <x:c r="P10" s="3"/>
      <x:c r="Q10" s="3"/>
      <x:c r="R10" s="3"/>
    </x:row>
    <x:row r="11" ht="38" customHeight="1">
      <x:c r="A11" s="95" t="str">
        <x:v>Demand units / same period</x:v>
      </x:c>
      <x:c r="B11" s="108"/>
      <x:c r="C11" s="66" t="str">
        <x:v>Comparable service family; review variation.</x:v>
      </x:c>
      <x:c r="D11" s="3"/>
      <x:c r="E11" s="3"/>
      <x:c r="F11" s="3"/>
      <x:c r="G11" s="3"/>
      <x:c r="H11" s="3"/>
      <x:c r="I11" s="3"/>
      <x:c r="J11" s="3"/>
      <x:c r="K11" s="3"/>
      <x:c r="L11" s="3"/>
      <x:c r="M11" s="3"/>
      <x:c r="N11" s="3"/>
      <x:c r="O11" s="3"/>
      <x:c r="P11" s="3"/>
      <x:c r="Q11" s="3"/>
      <x:c r="R11" s="3"/>
    </x:row>
    <x:row r="12" ht="38" customHeight="1">
      <x:c r="A12" s="95" t="str">
        <x:v>Release quantity</x:v>
      </x:c>
      <x:c r="B12" s="108"/>
      <x:c r="C12" s="66" t="str">
        <x:v>Positive whole units; a proposal, not a required batch.</x:v>
      </x:c>
      <x:c r="D12" s="3"/>
      <x:c r="E12" s="3"/>
      <x:c r="F12" s="3"/>
      <x:c r="G12" s="3"/>
      <x:c r="H12" s="3"/>
      <x:c r="I12" s="3"/>
      <x:c r="J12" s="3"/>
      <x:c r="K12" s="3"/>
      <x:c r="L12" s="3"/>
      <x:c r="M12" s="3"/>
      <x:c r="N12" s="3"/>
      <x:c r="O12" s="3"/>
      <x:c r="P12" s="3"/>
      <x:c r="Q12" s="3"/>
      <x:c r="R12" s="3"/>
    </x:row>
    <x:row r="13" ht="38" customHeight="1">
      <x:c r="A13" s="95" t="str">
        <x:v>Takt minutes / unit</x:v>
      </x:c>
      <x:c r="B13" s="83" t="str">
        <x:f>IF(AND(COUNT(B10:B11)=2,B10&gt;0,B11&gt;0),B10/B11,"")</x:f>
      </x:c>
      <x:c r="C13" s="66" t="str">
        <x:v>Net available time divided by demand.</x:v>
      </x:c>
      <x:c r="D13" s="3"/>
      <x:c r="E13" s="3"/>
      <x:c r="F13" s="3"/>
      <x:c r="G13" s="3"/>
      <x:c r="H13" s="3"/>
      <x:c r="I13" s="3"/>
      <x:c r="J13" s="3"/>
      <x:c r="K13" s="3"/>
      <x:c r="L13" s="3"/>
      <x:c r="M13" s="3"/>
      <x:c r="N13" s="3"/>
      <x:c r="O13" s="3"/>
      <x:c r="P13" s="3"/>
      <x:c r="Q13" s="3"/>
      <x:c r="R13" s="3"/>
    </x:row>
    <x:row r="14" ht="38" customHeight="1">
      <x:c r="A14" s="95" t="str">
        <x:v>Pitch minutes / release</x:v>
      </x:c>
      <x:c r="B14" s="83" t="str">
        <x:f>IF(AND(ISNUMBER(B13),ISNUMBER(B12),B12&gt;0,MOD(B12,1)=0),B13*B12,"")</x:f>
      </x:c>
      <x:c r="C14" s="66" t="str">
        <x:v>Takt multiplied by release quantity.</x:v>
      </x:c>
      <x:c r="D14" s="3"/>
      <x:c r="E14" s="3"/>
      <x:c r="F14" s="3"/>
      <x:c r="G14" s="3"/>
      <x:c r="H14" s="3"/>
      <x:c r="I14" s="3"/>
      <x:c r="J14" s="3"/>
      <x:c r="K14" s="3"/>
      <x:c r="L14" s="3"/>
      <x:c r="M14" s="3"/>
      <x:c r="N14" s="3"/>
      <x:c r="O14" s="3"/>
      <x:c r="P14" s="3"/>
      <x:c r="Q14" s="3"/>
      <x:c r="R14" s="3"/>
    </x:row>
    <x:row r="15" ht="38" customHeight="1">
      <x:c r="A15" s="95" t="str">
        <x:v>Readiness</x:v>
      </x:c>
      <x:c r="B15" s="83" t="str">
        <x:f>IF(COUNT(B10:B12)&lt;3,"Complete inputs",IF(OR(B10&lt;=0,B11&lt;=0,B12&lt;=0,MOD(B12,1)&lt;&gt;0),"Invalid inputs","Review work content, variation and controls"))</x:f>
        <x:v>Complete inputs</x:v>
      </x:c>
      <x:c r="C15" s="66" t="str">
        <x:v>Planning reference, not an individual speed quota.</x:v>
      </x:c>
      <x:c r="D15" s="3"/>
      <x:c r="E15" s="3"/>
      <x:c r="F15" s="3"/>
      <x:c r="G15" s="3"/>
      <x:c r="H15" s="3"/>
      <x:c r="I15" s="3"/>
      <x:c r="J15" s="3"/>
      <x:c r="K15" s="3"/>
      <x:c r="L15" s="3"/>
      <x:c r="M15" s="3"/>
      <x:c r="N15" s="3"/>
      <x:c r="O15" s="3"/>
      <x:c r="P15" s="3"/>
      <x:c r="Q15" s="3"/>
      <x:c r="R15" s="3"/>
    </x:row>
    <x:row r="16" ht="20" customHeight="1">
      <x:c r="A16" s="3"/>
      <x:c r="B16" s="3"/>
      <x:c r="C16" s="3"/>
      <x:c r="D16" s="3"/>
      <x:c r="E16" s="3"/>
      <x:c r="F16" s="3"/>
      <x:c r="G16" s="3"/>
      <x:c r="H16" s="3"/>
      <x:c r="I16" s="3"/>
      <x:c r="J16" s="3"/>
      <x:c r="K16" s="3"/>
      <x:c r="L16" s="3"/>
      <x:c r="M16" s="3"/>
      <x:c r="N16" s="3"/>
      <x:c r="O16" s="3"/>
      <x:c r="P16" s="3"/>
      <x:c r="Q16" s="3"/>
      <x:c r="R16" s="3"/>
    </x:row>
    <x:row r="17" ht="20" customHeight="1">
      <x:c r="A17" s="3"/>
      <x:c r="B17" s="3"/>
      <x:c r="C17" s="3"/>
      <x:c r="D17" s="3"/>
      <x:c r="E17" s="3"/>
      <x:c r="F17" s="3"/>
      <x:c r="G17" s="3"/>
      <x:c r="H17" s="3"/>
      <x:c r="I17" s="3"/>
      <x:c r="J17" s="3"/>
      <x:c r="K17" s="3"/>
      <x:c r="L17" s="3"/>
      <x:c r="M17" s="3"/>
      <x:c r="N17" s="3"/>
      <x:c r="O17" s="3"/>
      <x:c r="P17" s="3"/>
      <x:c r="Q17" s="3"/>
      <x:c r="R17" s="3"/>
    </x:row>
    <x:row r="18" ht="20" customHeight="1">
      <x:c r="A18" s="3"/>
      <x:c r="B18" s="3"/>
      <x:c r="C18" s="3"/>
      <x:c r="D18" s="3"/>
      <x:c r="E18" s="3"/>
      <x:c r="F18" s="3"/>
      <x:c r="G18" s="3"/>
      <x:c r="H18" s="3"/>
      <x:c r="I18" s="3"/>
      <x:c r="J18" s="3"/>
      <x:c r="K18" s="3"/>
      <x:c r="L18" s="3"/>
      <x:c r="M18" s="3"/>
      <x:c r="N18" s="3"/>
      <x:c r="O18" s="3"/>
      <x:c r="P18" s="3"/>
      <x:c r="Q18" s="3"/>
      <x:c r="R18" s="3"/>
    </x:row>
    <x:row r="19" ht="20" customHeight="1">
      <x:c r="A19" s="3"/>
      <x:c r="B19" s="3"/>
      <x:c r="C19" s="3"/>
      <x:c r="D19" s="3"/>
      <x:c r="E19" s="3"/>
      <x:c r="F19" s="3"/>
      <x:c r="G19" s="3"/>
      <x:c r="H19" s="3"/>
      <x:c r="I19" s="3"/>
      <x:c r="J19" s="3"/>
      <x:c r="K19" s="3"/>
      <x:c r="L19" s="3"/>
      <x:c r="M19" s="3"/>
      <x:c r="N19" s="3"/>
      <x:c r="O19" s="3"/>
      <x:c r="P19" s="3"/>
      <x:c r="Q19" s="3"/>
      <x:c r="R19" s="3"/>
    </x:row>
    <x:row r="20" ht="20" customHeight="1">
      <x:c r="A20" s="3"/>
      <x:c r="B20" s="3"/>
      <x:c r="C20" s="3"/>
      <x:c r="D20" s="3"/>
      <x:c r="E20" s="3"/>
      <x:c r="F20" s="3"/>
      <x:c r="G20" s="3"/>
      <x:c r="H20" s="3"/>
      <x:c r="I20" s="3"/>
      <x:c r="J20" s="3"/>
      <x:c r="K20" s="3"/>
      <x:c r="L20" s="3"/>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3"/>
      <x:c r="B22" s="3"/>
      <x:c r="C22" s="3"/>
      <x:c r="D22" s="3"/>
      <x:c r="E22" s="3"/>
      <x:c r="F22" s="3"/>
      <x:c r="G22" s="3"/>
      <x:c r="H22" s="3"/>
      <x:c r="I22" s="3"/>
      <x:c r="J22" s="3"/>
      <x:c r="K22" s="3"/>
      <x:c r="L22" s="3"/>
      <x:c r="M22" s="3"/>
      <x:c r="N22" s="3"/>
      <x:c r="O22" s="3"/>
      <x:c r="P22" s="3"/>
      <x:c r="Q22" s="3"/>
      <x:c r="R22" s="3"/>
    </x:row>
    <x:row r="23" ht="20" customHeight="1">
      <x:c r="A23" s="3"/>
      <x:c r="B23" s="3"/>
      <x:c r="C23" s="3"/>
      <x:c r="D23" s="3"/>
      <x:c r="E23" s="3"/>
      <x:c r="F23" s="3"/>
      <x:c r="G23" s="3"/>
      <x:c r="H23" s="3"/>
      <x:c r="I23" s="3"/>
      <x:c r="J23" s="3"/>
      <x:c r="K23" s="3"/>
      <x:c r="L23" s="3"/>
      <x:c r="M23" s="3"/>
      <x:c r="N23" s="3"/>
      <x:c r="O23" s="3"/>
      <x:c r="P23" s="3"/>
      <x:c r="Q23" s="3"/>
      <x:c r="R23" s="3"/>
    </x:row>
    <x:row r="24" ht="20" customHeight="1">
      <x:c r="A24" s="3"/>
      <x:c r="B24" s="3"/>
      <x:c r="C24" s="3"/>
      <x:c r="D24" s="3"/>
      <x:c r="E24" s="3"/>
      <x:c r="F24" s="3"/>
      <x:c r="G24" s="3"/>
      <x:c r="H24" s="3"/>
      <x:c r="I24" s="3"/>
      <x:c r="J24" s="3"/>
      <x:c r="K24" s="3"/>
      <x:c r="L24" s="3"/>
      <x:c r="M24" s="3"/>
      <x:c r="N24" s="3"/>
      <x:c r="O24" s="3"/>
      <x:c r="P24" s="3"/>
      <x:c r="Q24" s="3"/>
      <x:c r="R24" s="3"/>
    </x:row>
    <x:row r="25" ht="20" customHeight="1">
      <x:c r="A25" s="3"/>
      <x:c r="B25" s="3"/>
      <x:c r="C25" s="3"/>
      <x:c r="D25" s="3"/>
      <x:c r="E25" s="3"/>
      <x:c r="F25" s="3"/>
      <x:c r="G25" s="3"/>
      <x:c r="H25" s="3"/>
      <x:c r="I25" s="3"/>
      <x:c r="J25" s="3"/>
      <x:c r="K25" s="3"/>
      <x:c r="L25" s="3"/>
      <x:c r="M25" s="3"/>
      <x:c r="N25" s="3"/>
      <x:c r="O25" s="3"/>
      <x:c r="P25" s="3"/>
      <x:c r="Q25" s="3"/>
      <x:c r="R25" s="3"/>
    </x:row>
    <x:row r="26" ht="20" customHeight="1">
      <x:c r="A26" s="3"/>
      <x:c r="B26" s="3"/>
      <x:c r="C26" s="3"/>
      <x:c r="D26" s="3"/>
      <x:c r="E26" s="3"/>
      <x:c r="F26" s="3"/>
      <x:c r="G26" s="3"/>
      <x:c r="H26" s="3"/>
      <x:c r="I26" s="3"/>
      <x:c r="J26" s="3"/>
      <x:c r="K26" s="3"/>
      <x:c r="L26" s="3"/>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3"/>
      <x:c r="B28" s="3"/>
      <x:c r="C28" s="3"/>
      <x:c r="D28" s="3"/>
      <x:c r="E28" s="3"/>
      <x:c r="F28" s="3"/>
      <x:c r="G28" s="3"/>
      <x:c r="H28" s="3"/>
      <x:c r="I28" s="3"/>
      <x:c r="J28" s="3"/>
      <x:c r="K28" s="3"/>
      <x:c r="L28" s="3"/>
      <x:c r="M28" s="3"/>
      <x:c r="N28" s="3"/>
      <x:c r="O28" s="3"/>
      <x:c r="P28" s="3"/>
      <x:c r="Q28" s="3"/>
      <x:c r="R28" s="3"/>
    </x:row>
    <x:row r="29" ht="20" customHeight="1">
      <x:c r="A29" s="3"/>
      <x:c r="B29" s="3"/>
      <x:c r="C29" s="3"/>
      <x:c r="D29" s="3"/>
      <x:c r="E29" s="3"/>
      <x:c r="F29" s="3"/>
      <x:c r="G29" s="3"/>
      <x:c r="H29" s="3"/>
      <x:c r="I29" s="3"/>
      <x:c r="J29" s="3"/>
      <x:c r="K29" s="3"/>
      <x:c r="L29" s="3"/>
      <x:c r="M29" s="3"/>
      <x:c r="N29" s="3"/>
      <x:c r="O29" s="3"/>
      <x:c r="P29" s="3"/>
      <x:c r="Q29" s="3"/>
      <x:c r="R29" s="3"/>
    </x:row>
    <x:row r="30" ht="20" customHeight="1">
      <x:c r="A30" s="3"/>
      <x:c r="B30" s="3"/>
      <x:c r="C30" s="3"/>
      <x:c r="D30" s="3"/>
      <x:c r="E30" s="3"/>
      <x:c r="F30" s="3"/>
      <x:c r="G30" s="3"/>
      <x:c r="H30" s="3"/>
      <x:c r="I30" s="3"/>
      <x:c r="J30" s="3"/>
      <x:c r="K30" s="3"/>
      <x:c r="L30" s="3"/>
      <x:c r="M30" s="3"/>
      <x:c r="N30" s="3"/>
      <x:c r="O30" s="3"/>
      <x:c r="P30" s="3"/>
      <x:c r="Q30" s="3"/>
      <x:c r="R30" s="3"/>
    </x:row>
    <x:row r="31" ht="20" customHeight="1">
      <x:c r="A31" s="3"/>
      <x:c r="B31" s="3"/>
      <x:c r="C31" s="3"/>
      <x:c r="D31" s="3"/>
      <x:c r="E31" s="3"/>
      <x:c r="F31" s="3"/>
      <x:c r="G31" s="3"/>
      <x:c r="H31" s="3"/>
      <x:c r="I31" s="3"/>
      <x:c r="J31" s="3"/>
      <x:c r="K31" s="3"/>
      <x:c r="L31" s="3"/>
      <x:c r="M31" s="3"/>
      <x:c r="N31" s="3"/>
      <x:c r="O31" s="3"/>
      <x:c r="P31" s="3"/>
      <x:c r="Q31" s="3"/>
      <x:c r="R31" s="3"/>
    </x:row>
    <x:row r="32" ht="20" customHeight="1">
      <x:c r="A32" s="3"/>
      <x:c r="B32" s="3"/>
      <x:c r="C32" s="3"/>
      <x:c r="D32" s="3"/>
      <x:c r="E32" s="3"/>
      <x:c r="F32" s="3"/>
      <x:c r="G32" s="3"/>
      <x:c r="H32" s="3"/>
      <x:c r="I32" s="3"/>
      <x:c r="J32" s="3"/>
      <x:c r="K32" s="3"/>
      <x:c r="L32" s="3"/>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3"/>
      <x:c r="B34" s="3"/>
      <x:c r="C34" s="3"/>
      <x:c r="D34" s="3"/>
      <x:c r="E34" s="3"/>
      <x:c r="F34" s="3"/>
      <x:c r="G34" s="3"/>
      <x:c r="H34" s="3"/>
      <x:c r="I34" s="3"/>
      <x:c r="J34" s="3"/>
      <x:c r="K34" s="3"/>
      <x:c r="L34" s="3"/>
      <x:c r="M34" s="3"/>
      <x:c r="N34" s="3"/>
      <x:c r="O34" s="3"/>
      <x:c r="P34" s="3"/>
      <x:c r="Q34" s="3"/>
      <x:c r="R34" s="3"/>
    </x:row>
    <x:row r="35" ht="20" customHeight="1">
      <x:c r="A35" s="3"/>
      <x:c r="B35" s="3"/>
      <x:c r="C35" s="3"/>
      <x:c r="D35" s="3"/>
      <x:c r="E35" s="3"/>
      <x:c r="F35" s="3"/>
      <x:c r="G35" s="3"/>
      <x:c r="H35" s="3"/>
      <x:c r="I35" s="3"/>
      <x:c r="J35" s="3"/>
      <x:c r="K35" s="3"/>
      <x:c r="L35" s="3"/>
      <x:c r="M35" s="3"/>
      <x:c r="N35" s="3"/>
      <x:c r="O35" s="3"/>
      <x:c r="P35" s="3"/>
      <x:c r="Q35" s="3"/>
      <x:c r="R35" s="3"/>
    </x:row>
    <x:row r="36" ht="20" customHeight="1">
      <x:c r="A36" s="3"/>
      <x:c r="B36" s="3"/>
      <x:c r="C36" s="3"/>
      <x:c r="D36" s="3"/>
      <x:c r="E36" s="3"/>
      <x:c r="F36" s="3"/>
      <x:c r="G36" s="3"/>
      <x:c r="H36" s="3"/>
      <x:c r="I36" s="3"/>
      <x:c r="J36" s="3"/>
      <x:c r="K36" s="3"/>
      <x:c r="L36" s="3"/>
      <x:c r="M36" s="3"/>
      <x:c r="N36" s="3"/>
      <x:c r="O36" s="3"/>
      <x:c r="P36" s="3"/>
      <x:c r="Q36" s="3"/>
      <x:c r="R36" s="3"/>
    </x:row>
    <x:row r="37" ht="20" customHeight="1">
      <x:c r="A37" s="3"/>
      <x:c r="B37" s="3"/>
      <x:c r="C37" s="3"/>
      <x:c r="D37" s="3"/>
      <x:c r="E37" s="3"/>
      <x:c r="F37" s="3"/>
      <x:c r="G37" s="3"/>
      <x:c r="H37" s="3"/>
      <x:c r="I37" s="3"/>
      <x:c r="J37" s="3"/>
      <x:c r="K37" s="3"/>
      <x:c r="L37" s="3"/>
      <x:c r="M37" s="3"/>
      <x:c r="N37" s="3"/>
      <x:c r="O37" s="3"/>
      <x:c r="P37" s="3"/>
      <x:c r="Q37" s="3"/>
      <x:c r="R37" s="3"/>
    </x:row>
    <x:row r="38" ht="20" customHeight="1">
      <x:c r="A38" s="3"/>
      <x:c r="B38" s="3"/>
      <x:c r="C38" s="3"/>
      <x:c r="D38" s="3"/>
      <x:c r="E38" s="3"/>
      <x:c r="F38" s="3"/>
      <x:c r="G38" s="3"/>
      <x:c r="H38" s="3"/>
      <x:c r="I38" s="3"/>
      <x:c r="J38" s="3"/>
      <x:c r="K38" s="3"/>
      <x:c r="L38" s="3"/>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20" customHeight="1">
      <x:c r="A42" s="3"/>
      <x:c r="B42" s="3"/>
      <x:c r="C42" s="3"/>
      <x:c r="D42" s="3"/>
      <x:c r="E42" s="3"/>
      <x:c r="F42" s="3"/>
      <x:c r="G42" s="3"/>
      <x:c r="H42" s="3"/>
      <x:c r="I42" s="3"/>
      <x:c r="J42" s="3"/>
      <x:c r="K42" s="3"/>
      <x:c r="L42" s="3"/>
      <x:c r="M42" s="3"/>
      <x:c r="N42" s="3"/>
      <x:c r="O42" s="3"/>
      <x:c r="P42" s="3"/>
      <x:c r="Q42" s="3"/>
      <x:c r="R42" s="3"/>
    </x:row>
    <x:row r="43" ht="20" customHeight="1">
      <x:c r="A43" s="3"/>
      <x:c r="B43" s="3"/>
      <x:c r="C43" s="3"/>
      <x:c r="D43" s="3"/>
      <x:c r="E43" s="3"/>
      <x:c r="F43" s="3"/>
      <x:c r="G43" s="3"/>
      <x:c r="H43" s="3"/>
      <x:c r="I43" s="3"/>
      <x:c r="J43" s="3"/>
      <x:c r="K43" s="3"/>
      <x:c r="L43" s="3"/>
      <x:c r="M43" s="3"/>
      <x:c r="N43" s="3"/>
      <x:c r="O43" s="3"/>
      <x:c r="P43" s="3"/>
      <x:c r="Q43" s="3"/>
      <x:c r="R43" s="3"/>
    </x:row>
    <x:row r="44" ht="20" customHeight="1">
      <x:c r="A44" s="3"/>
      <x:c r="B44" s="3"/>
      <x:c r="C44" s="3"/>
      <x:c r="D44" s="3"/>
      <x:c r="E44" s="3"/>
      <x:c r="F44" s="3"/>
      <x:c r="G44" s="3"/>
      <x:c r="H44" s="3"/>
      <x:c r="I44" s="3"/>
      <x:c r="J44" s="3"/>
      <x:c r="K44" s="3"/>
      <x:c r="L44" s="3"/>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3"/>
      <x:c r="B47" s="3"/>
      <x:c r="C47" s="3"/>
      <x:c r="D47" s="3"/>
      <x:c r="E47" s="3"/>
      <x:c r="F47" s="3"/>
      <x:c r="G47" s="3"/>
      <x:c r="H47" s="3"/>
      <x:c r="I47" s="3"/>
      <x:c r="J47" s="3"/>
      <x:c r="K47" s="3"/>
      <x:c r="L47" s="3"/>
      <x:c r="M47" s="3"/>
      <x:c r="N47" s="3"/>
      <x:c r="O47" s="3"/>
      <x:c r="P47" s="3"/>
      <x:c r="Q47" s="3"/>
      <x:c r="R47" s="3"/>
    </x:row>
    <x:row r="48" ht="20" customHeight="1">
      <x:c r="A48" s="3"/>
      <x:c r="B48" s="3"/>
      <x:c r="C48" s="3"/>
      <x:c r="D48" s="3"/>
      <x:c r="E48" s="3"/>
      <x:c r="F48" s="3"/>
      <x:c r="G48" s="3"/>
      <x:c r="H48" s="3"/>
      <x:c r="I48" s="3"/>
      <x:c r="J48" s="3"/>
      <x:c r="K48" s="3"/>
      <x:c r="L48" s="3"/>
      <x:c r="M48" s="3"/>
      <x:c r="N48" s="3"/>
      <x:c r="O48" s="3"/>
      <x:c r="P48" s="3"/>
      <x:c r="Q48" s="3"/>
      <x:c r="R48" s="3"/>
    </x:row>
    <x:row r="49" ht="20" customHeight="1">
      <x:c r="A49" s="3"/>
      <x:c r="B49" s="3"/>
      <x:c r="C49" s="3"/>
      <x:c r="D49" s="3"/>
      <x:c r="E49" s="3"/>
      <x:c r="F49" s="3"/>
      <x:c r="G49" s="3"/>
      <x:c r="H49" s="3"/>
      <x:c r="I49" s="3"/>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L01</x:v>
      </x:c>
      <x:c r="B110" s="34"/>
      <x:c r="C110" s="34"/>
      <x:c r="D110" s="34"/>
      <x:c r="E110" s="34"/>
      <x:c r="F110" s="34"/>
      <x:c r="G110" s="34"/>
      <x:c r="H110" s="34"/>
      <x:c r="I110" s="34"/>
      <x:c r="J110" s="34"/>
      <x:c r="K110" s="34"/>
      <x:c r="L110" s="34"/>
      <x:c r="M110" s="3"/>
      <x:c r="N110" s="3"/>
      <x:c r="O110" s="3"/>
      <x:c r="P110" s="3"/>
      <x:c r="Q110" s="3"/>
      <x:c r="R110" s="3"/>
    </x:row>
    <x:row r="111" ht="20" customHeight="1">
      <x:c r="A111" s="40" t="str">
        <x:v>01  Family and period</x:v>
      </x:c>
      <x:c r="B111" s="40"/>
      <x:c r="C111" s="40"/>
      <x:c r="D111" s="17" t="str">
        <x:v>Define comparable demand and time.</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Net available time</x:v>
      </x:c>
      <x:c r="B117" s="40"/>
      <x:c r="C117" s="40"/>
      <x:c r="D117" s="17" t="str">
        <x:v>Record usable system minutes.</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Demand</x:v>
      </x:c>
      <x:c r="B123" s="40"/>
      <x:c r="C123" s="40"/>
      <x:c r="D123" s="17" t="str">
        <x:v>Enter units in the same period.</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Takt calculation</x:v>
      </x:c>
      <x:c r="B129" s="40"/>
      <x:c r="C129" s="40"/>
      <x:c r="D129" s="17" t="str">
        <x:v>Divide available time by demand.</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Pitch and work content</x:v>
      </x:c>
      <x:c r="B135" s="40"/>
      <x:c r="C135" s="40"/>
      <x:c r="D135" s="17" t="str">
        <x:v>State release quantity and comparison.</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Decision and test</x:v>
      </x:c>
      <x:c r="B141" s="40"/>
      <x:c r="C141" s="40"/>
      <x:c r="D141" s="17" t="str">
        <x:v>Record the proposed operating experiment.</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Zero demand means takt is not meaningful, not zero. Takt is not a stopwatch target for every employee or a promise that all requests are identical. A pitch calculation does not justify batching where one-by-one flow is feasible.</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L02, L04, F07  |  METHOD SOURCES: U02, R21, R24</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s>
  <x:pageMargins left="0.7" right="0.7" top="0.75" bottom="0.75" header="0.3" footer="0.3"/>
</x:worksheet>
</file>

<file path=xl/worksheets/sheet76.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5" hidden="0" customWidth="1"/>
    <x:col min="2" max="2" width="22" hidden="0" customWidth="1"/>
    <x:col min="3" max="3" width="27" hidden="0" customWidth="1"/>
    <x:col min="4" max="4" width="23" hidden="0" customWidth="1"/>
    <x:col min="5" max="5" width="24" hidden="0" customWidth="1"/>
    <x:col min="6" max="6" width="40" hidden="0" customWidth="1"/>
    <x:col min="7" max="7" width="34" hidden="0" customWidth="1"/>
    <x:col min="8" max="8" width="17" hidden="0" customWidth="1"/>
    <x:col min="9" max="9" width="26" hidden="0" customWidth="1"/>
    <x:col min="10" max="10" width="11" hidden="0" customWidth="1"/>
    <x:col min="11" max="11" width="28" hidden="0" customWidth="1"/>
    <x:col min="12" max="12" width="48"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L02  Service Kanban and WIP-limit policy</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Make work visible and control release so the team can finish what it starts.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Work ID</x:v>
      </x:c>
      <x:c r="B9" s="77" t="str">
        <x:v>Family / phase</x:v>
      </x:c>
      <x:c r="C9" s="77" t="str">
        <x:v>State</x:v>
      </x:c>
      <x:c r="D9" s="77" t="str">
        <x:v>Receipt date/time</x:v>
      </x:c>
      <x:c r="E9" s="77" t="str">
        <x:v>Owner</x:v>
      </x:c>
      <x:c r="F9" s="77" t="str">
        <x:v>Blocked reason</x:v>
      </x:c>
      <x:c r="G9" s="77" t="str">
        <x:v>Expedite approval</x:v>
      </x:c>
      <x:c r="H9" s="77" t="str">
        <x:v>Age hours</x:v>
      </x:c>
      <x:c r="I9" s="77" t="str">
        <x:v>Ready check</x:v>
      </x:c>
      <x:c r="J9" s="3"/>
      <x:c r="K9" s="3"/>
      <x:c r="L9" s="3"/>
      <x:c r="M9" s="3"/>
      <x:c r="N9" s="3"/>
      <x:c r="O9" s="3"/>
      <x:c r="P9" s="3"/>
      <x:c r="Q9" s="3"/>
      <x:c r="R9" s="3"/>
    </x:row>
    <x:row r="10" ht="34" customHeight="1">
      <x:c r="A10" s="46"/>
      <x:c r="B10" s="46"/>
      <x:c r="C10" s="46"/>
      <x:c r="D10" s="80"/>
      <x:c r="E10" s="46"/>
      <x:c r="F10" s="46"/>
      <x:c r="G10" s="46"/>
      <x:c r="H10" s="83" t="str">
        <x:f>IF(A10="","",IF(AND(C10&lt;&gt;"Delivered",ISNUMBER(D10),ISNUMBER('01 Setup'!$B$31),'01 Setup'!$B$31&gt;=D10),('01 Setup'!$B$31-D10)*'01 Setup'!$B$22,""))</x:f>
      </x:c>
      <x:c r="I10" s="46"/>
      <x:c r="J10" s="3"/>
      <x:c r="K10" s="95" t="str">
        <x:v>Local active WIP limit</x:v>
      </x:c>
      <x:c r="L10" s="108"/>
      <x:c r="M10" s="3"/>
      <x:c r="N10" s="3"/>
      <x:c r="O10" s="3"/>
      <x:c r="P10" s="3"/>
      <x:c r="Q10" s="3"/>
      <x:c r="R10" s="3"/>
    </x:row>
    <x:row r="11" ht="34" customHeight="1">
      <x:c r="A11" s="46"/>
      <x:c r="B11" s="46"/>
      <x:c r="C11" s="46"/>
      <x:c r="D11" s="80"/>
      <x:c r="E11" s="46"/>
      <x:c r="F11" s="46"/>
      <x:c r="G11" s="46"/>
      <x:c r="H11" s="83" t="str">
        <x:f>IF(A11="","",IF(AND(C11&lt;&gt;"Delivered",ISNUMBER(D11),ISNUMBER('01 Setup'!$B$31),'01 Setup'!$B$31&gt;=D11),('01 Setup'!$B$31-D11)*'01 Setup'!$B$22,""))</x:f>
      </x:c>
      <x:c r="I11" s="46"/>
      <x:c r="J11" s="3"/>
      <x:c r="K11" s="95" t="str">
        <x:v>Active count</x:v>
      </x:c>
      <x:c r="L11" s="66" t="n">
        <x:f>COUNTIF(C10:C69,"In progress")+COUNTIF(C10:C69,"Awaiting approval")</x:f>
        <x:v>0</x:v>
      </x:c>
      <x:c r="M11" s="3"/>
      <x:c r="N11" s="3"/>
      <x:c r="O11" s="3"/>
      <x:c r="P11" s="3"/>
      <x:c r="Q11" s="3"/>
      <x:c r="R11" s="3"/>
    </x:row>
    <x:row r="12" ht="34" customHeight="1">
      <x:c r="A12" s="46"/>
      <x:c r="B12" s="46"/>
      <x:c r="C12" s="46"/>
      <x:c r="D12" s="80"/>
      <x:c r="E12" s="46"/>
      <x:c r="F12" s="46"/>
      <x:c r="G12" s="46"/>
      <x:c r="H12" s="83" t="str">
        <x:f>IF(A12="","",IF(AND(C12&lt;&gt;"Delivered",ISNUMBER(D12),ISNUMBER('01 Setup'!$B$31),'01 Setup'!$B$31&gt;=D12),('01 Setup'!$B$31-D12)*'01 Setup'!$B$22,""))</x:f>
      </x:c>
      <x:c r="I12" s="46"/>
      <x:c r="J12" s="3"/>
      <x:c r="K12" s="95" t="str">
        <x:v>Limit check</x:v>
      </x:c>
      <x:c r="L12" s="66" t="str">
        <x:f>IF(NOT(ISNUMBER(L10)),"Set local limit",IF(OR(L10&lt;1,MOD(L10,1)&lt;&gt;0),"Use positive whole limit",IF(L11&gt;L10,"Limit exceeded - review","Within stated limit")))</x:f>
        <x:v>Set local limit</x:v>
      </x:c>
      <x:c r="M12" s="3"/>
      <x:c r="N12" s="3"/>
      <x:c r="O12" s="3"/>
      <x:c r="P12" s="3"/>
      <x:c r="Q12" s="3"/>
      <x:c r="R12" s="3"/>
    </x:row>
    <x:row r="13" ht="34" customHeight="1">
      <x:c r="A13" s="46"/>
      <x:c r="B13" s="46"/>
      <x:c r="C13" s="46"/>
      <x:c r="D13" s="80"/>
      <x:c r="E13" s="46"/>
      <x:c r="F13" s="46"/>
      <x:c r="G13" s="46"/>
      <x:c r="H13" s="83" t="str">
        <x:f>IF(A13="","",IF(AND(C13&lt;&gt;"Delivered",ISNUMBER(D13),ISNUMBER('01 Setup'!$B$31),'01 Setup'!$B$31&gt;=D13),('01 Setup'!$B$31-D13)*'01 Setup'!$B$22,""))</x:f>
      </x:c>
      <x:c r="I13" s="46"/>
      <x:c r="J13" s="3"/>
      <x:c r="K13" s="95" t="str">
        <x:v>Policy</x:v>
      </x:c>
      <x:c r="L13" s="66" t="str">
        <x:v>Define which states count as active; here In progress and Awaiting approval.</x:v>
      </x:c>
      <x:c r="M13" s="3"/>
      <x:c r="N13" s="3"/>
      <x:c r="O13" s="3"/>
      <x:c r="P13" s="3"/>
      <x:c r="Q13" s="3"/>
      <x:c r="R13" s="3"/>
    </x:row>
    <x:row r="14" ht="34" customHeight="1">
      <x:c r="A14" s="46"/>
      <x:c r="B14" s="46"/>
      <x:c r="C14" s="46"/>
      <x:c r="D14" s="80"/>
      <x:c r="E14" s="46"/>
      <x:c r="F14" s="46"/>
      <x:c r="G14" s="46"/>
      <x:c r="H14" s="83" t="str">
        <x:f>IF(A14="","",IF(AND(C14&lt;&gt;"Delivered",ISNUMBER(D14),ISNUMBER('01 Setup'!$B$31),'01 Setup'!$B$31&gt;=D14),('01 Setup'!$B$31-D14)*'01 Setup'!$B$22,""))</x:f>
      </x:c>
      <x:c r="I14" s="46"/>
      <x:c r="J14" s="3"/>
      <x:c r="K14" s="95" t="str">
        <x:v>Caution</x:v>
      </x:c>
      <x:c r="L14" s="66" t="str">
        <x:v>All received, clarification and blocked work remains visible.</x:v>
      </x:c>
      <x:c r="M14" s="3"/>
      <x:c r="N14" s="3"/>
      <x:c r="O14" s="3"/>
      <x:c r="P14" s="3"/>
      <x:c r="Q14" s="3"/>
      <x:c r="R14" s="3"/>
    </x:row>
    <x:row r="15" ht="34" customHeight="1">
      <x:c r="A15" s="46"/>
      <x:c r="B15" s="46"/>
      <x:c r="C15" s="46"/>
      <x:c r="D15" s="80"/>
      <x:c r="E15" s="46"/>
      <x:c r="F15" s="46"/>
      <x:c r="G15" s="46"/>
      <x:c r="H15" s="83" t="str">
        <x:f>IF(A15="","",IF(AND(C15&lt;&gt;"Delivered",ISNUMBER(D15),ISNUMBER('01 Setup'!$B$31),'01 Setup'!$B$31&gt;=D15),('01 Setup'!$B$31-D15)*'01 Setup'!$B$22,""))</x:f>
      </x:c>
      <x:c r="I15" s="46"/>
      <x:c r="J15" s="3"/>
      <x:c r="K15" s="3"/>
      <x:c r="L15" s="3"/>
      <x:c r="M15" s="3"/>
      <x:c r="N15" s="3"/>
      <x:c r="O15" s="3"/>
      <x:c r="P15" s="3"/>
      <x:c r="Q15" s="3"/>
      <x:c r="R15" s="3"/>
    </x:row>
    <x:row r="16" ht="34" customHeight="1">
      <x:c r="A16" s="46"/>
      <x:c r="B16" s="46"/>
      <x:c r="C16" s="46"/>
      <x:c r="D16" s="80"/>
      <x:c r="E16" s="46"/>
      <x:c r="F16" s="46"/>
      <x:c r="G16" s="46"/>
      <x:c r="H16" s="83" t="str">
        <x:f>IF(A16="","",IF(AND(C16&lt;&gt;"Delivered",ISNUMBER(D16),ISNUMBER('01 Setup'!$B$31),'01 Setup'!$B$31&gt;=D16),('01 Setup'!$B$31-D16)*'01 Setup'!$B$22,""))</x:f>
      </x:c>
      <x:c r="I16" s="46"/>
      <x:c r="J16" s="3"/>
      <x:c r="K16" s="3"/>
      <x:c r="L16" s="3"/>
      <x:c r="M16" s="3"/>
      <x:c r="N16" s="3"/>
      <x:c r="O16" s="3"/>
      <x:c r="P16" s="3"/>
      <x:c r="Q16" s="3"/>
      <x:c r="R16" s="3"/>
    </x:row>
    <x:row r="17" ht="34" customHeight="1">
      <x:c r="A17" s="46"/>
      <x:c r="B17" s="46"/>
      <x:c r="C17" s="46"/>
      <x:c r="D17" s="80"/>
      <x:c r="E17" s="46"/>
      <x:c r="F17" s="46"/>
      <x:c r="G17" s="46"/>
      <x:c r="H17" s="83" t="str">
        <x:f>IF(A17="","",IF(AND(C17&lt;&gt;"Delivered",ISNUMBER(D17),ISNUMBER('01 Setup'!$B$31),'01 Setup'!$B$31&gt;=D17),('01 Setup'!$B$31-D17)*'01 Setup'!$B$22,""))</x:f>
      </x:c>
      <x:c r="I17" s="46"/>
      <x:c r="J17" s="3"/>
      <x:c r="K17" s="3"/>
      <x:c r="L17" s="3"/>
      <x:c r="M17" s="3"/>
      <x:c r="N17" s="3"/>
      <x:c r="O17" s="3"/>
      <x:c r="P17" s="3"/>
      <x:c r="Q17" s="3"/>
      <x:c r="R17" s="3"/>
    </x:row>
    <x:row r="18" ht="34" customHeight="1">
      <x:c r="A18" s="46"/>
      <x:c r="B18" s="46"/>
      <x:c r="C18" s="46"/>
      <x:c r="D18" s="80"/>
      <x:c r="E18" s="46"/>
      <x:c r="F18" s="46"/>
      <x:c r="G18" s="46"/>
      <x:c r="H18" s="83" t="str">
        <x:f>IF(A18="","",IF(AND(C18&lt;&gt;"Delivered",ISNUMBER(D18),ISNUMBER('01 Setup'!$B$31),'01 Setup'!$B$31&gt;=D18),('01 Setup'!$B$31-D18)*'01 Setup'!$B$22,""))</x:f>
      </x:c>
      <x:c r="I18" s="46"/>
      <x:c r="J18" s="3"/>
      <x:c r="K18" s="3"/>
      <x:c r="L18" s="3"/>
      <x:c r="M18" s="3"/>
      <x:c r="N18" s="3"/>
      <x:c r="O18" s="3"/>
      <x:c r="P18" s="3"/>
      <x:c r="Q18" s="3"/>
      <x:c r="R18" s="3"/>
    </x:row>
    <x:row r="19" ht="34" customHeight="1">
      <x:c r="A19" s="46"/>
      <x:c r="B19" s="46"/>
      <x:c r="C19" s="46"/>
      <x:c r="D19" s="80"/>
      <x:c r="E19" s="46"/>
      <x:c r="F19" s="46"/>
      <x:c r="G19" s="46"/>
      <x:c r="H19" s="83" t="str">
        <x:f>IF(A19="","",IF(AND(C19&lt;&gt;"Delivered",ISNUMBER(D19),ISNUMBER('01 Setup'!$B$31),'01 Setup'!$B$31&gt;=D19),('01 Setup'!$B$31-D19)*'01 Setup'!$B$22,""))</x:f>
      </x:c>
      <x:c r="I19" s="46"/>
      <x:c r="J19" s="3"/>
      <x:c r="K19" s="3"/>
      <x:c r="L19" s="3"/>
      <x:c r="M19" s="3"/>
      <x:c r="N19" s="3"/>
      <x:c r="O19" s="3"/>
      <x:c r="P19" s="3"/>
      <x:c r="Q19" s="3"/>
      <x:c r="R19" s="3"/>
    </x:row>
    <x:row r="20" ht="34" customHeight="1">
      <x:c r="A20" s="46"/>
      <x:c r="B20" s="46"/>
      <x:c r="C20" s="46"/>
      <x:c r="D20" s="80"/>
      <x:c r="E20" s="46"/>
      <x:c r="F20" s="46"/>
      <x:c r="G20" s="46"/>
      <x:c r="H20" s="83" t="str">
        <x:f>IF(A20="","",IF(AND(C20&lt;&gt;"Delivered",ISNUMBER(D20),ISNUMBER('01 Setup'!$B$31),'01 Setup'!$B$31&gt;=D20),('01 Setup'!$B$31-D20)*'01 Setup'!$B$22,""))</x:f>
      </x:c>
      <x:c r="I20" s="46"/>
      <x:c r="J20" s="3"/>
      <x:c r="K20" s="3"/>
      <x:c r="L20" s="3"/>
      <x:c r="M20" s="3"/>
      <x:c r="N20" s="3"/>
      <x:c r="O20" s="3"/>
      <x:c r="P20" s="3"/>
      <x:c r="Q20" s="3"/>
      <x:c r="R20" s="3"/>
    </x:row>
    <x:row r="21" ht="34" customHeight="1">
      <x:c r="A21" s="46"/>
      <x:c r="B21" s="46"/>
      <x:c r="C21" s="46"/>
      <x:c r="D21" s="80"/>
      <x:c r="E21" s="46"/>
      <x:c r="F21" s="46"/>
      <x:c r="G21" s="46"/>
      <x:c r="H21" s="83" t="str">
        <x:f>IF(A21="","",IF(AND(C21&lt;&gt;"Delivered",ISNUMBER(D21),ISNUMBER('01 Setup'!$B$31),'01 Setup'!$B$31&gt;=D21),('01 Setup'!$B$31-D21)*'01 Setup'!$B$22,""))</x:f>
      </x:c>
      <x:c r="I21" s="46"/>
      <x:c r="J21" s="3"/>
      <x:c r="K21" s="3"/>
      <x:c r="L21" s="3"/>
      <x:c r="M21" s="3"/>
      <x:c r="N21" s="3"/>
      <x:c r="O21" s="3"/>
      <x:c r="P21" s="3"/>
      <x:c r="Q21" s="3"/>
      <x:c r="R21" s="3"/>
    </x:row>
    <x:row r="22" ht="34" customHeight="1">
      <x:c r="A22" s="46"/>
      <x:c r="B22" s="46"/>
      <x:c r="C22" s="46"/>
      <x:c r="D22" s="80"/>
      <x:c r="E22" s="46"/>
      <x:c r="F22" s="46"/>
      <x:c r="G22" s="46"/>
      <x:c r="H22" s="83" t="str">
        <x:f>IF(A22="","",IF(AND(C22&lt;&gt;"Delivered",ISNUMBER(D22),ISNUMBER('01 Setup'!$B$31),'01 Setup'!$B$31&gt;=D22),('01 Setup'!$B$31-D22)*'01 Setup'!$B$22,""))</x:f>
      </x:c>
      <x:c r="I22" s="46"/>
      <x:c r="J22" s="3"/>
      <x:c r="K22" s="3"/>
      <x:c r="L22" s="3"/>
      <x:c r="M22" s="3"/>
      <x:c r="N22" s="3"/>
      <x:c r="O22" s="3"/>
      <x:c r="P22" s="3"/>
      <x:c r="Q22" s="3"/>
      <x:c r="R22" s="3"/>
    </x:row>
    <x:row r="23" ht="34" customHeight="1">
      <x:c r="A23" s="46"/>
      <x:c r="B23" s="46"/>
      <x:c r="C23" s="46"/>
      <x:c r="D23" s="80"/>
      <x:c r="E23" s="46"/>
      <x:c r="F23" s="46"/>
      <x:c r="G23" s="46"/>
      <x:c r="H23" s="83" t="str">
        <x:f>IF(A23="","",IF(AND(C23&lt;&gt;"Delivered",ISNUMBER(D23),ISNUMBER('01 Setup'!$B$31),'01 Setup'!$B$31&gt;=D23),('01 Setup'!$B$31-D23)*'01 Setup'!$B$22,""))</x:f>
      </x:c>
      <x:c r="I23" s="46"/>
      <x:c r="J23" s="3"/>
      <x:c r="K23" s="3"/>
      <x:c r="L23" s="3"/>
      <x:c r="M23" s="3"/>
      <x:c r="N23" s="3"/>
      <x:c r="O23" s="3"/>
      <x:c r="P23" s="3"/>
      <x:c r="Q23" s="3"/>
      <x:c r="R23" s="3"/>
    </x:row>
    <x:row r="24" ht="34" customHeight="1">
      <x:c r="A24" s="46"/>
      <x:c r="B24" s="46"/>
      <x:c r="C24" s="46"/>
      <x:c r="D24" s="80"/>
      <x:c r="E24" s="46"/>
      <x:c r="F24" s="46"/>
      <x:c r="G24" s="46"/>
      <x:c r="H24" s="83" t="str">
        <x:f>IF(A24="","",IF(AND(C24&lt;&gt;"Delivered",ISNUMBER(D24),ISNUMBER('01 Setup'!$B$31),'01 Setup'!$B$31&gt;=D24),('01 Setup'!$B$31-D24)*'01 Setup'!$B$22,""))</x:f>
      </x:c>
      <x:c r="I24" s="46"/>
      <x:c r="J24" s="3"/>
      <x:c r="K24" s="3"/>
      <x:c r="L24" s="3"/>
      <x:c r="M24" s="3"/>
      <x:c r="N24" s="3"/>
      <x:c r="O24" s="3"/>
      <x:c r="P24" s="3"/>
      <x:c r="Q24" s="3"/>
      <x:c r="R24" s="3"/>
    </x:row>
    <x:row r="25" ht="34" customHeight="1">
      <x:c r="A25" s="46"/>
      <x:c r="B25" s="46"/>
      <x:c r="C25" s="46"/>
      <x:c r="D25" s="80"/>
      <x:c r="E25" s="46"/>
      <x:c r="F25" s="46"/>
      <x:c r="G25" s="46"/>
      <x:c r="H25" s="83" t="str">
        <x:f>IF(A25="","",IF(AND(C25&lt;&gt;"Delivered",ISNUMBER(D25),ISNUMBER('01 Setup'!$B$31),'01 Setup'!$B$31&gt;=D25),('01 Setup'!$B$31-D25)*'01 Setup'!$B$22,""))</x:f>
      </x:c>
      <x:c r="I25" s="46"/>
      <x:c r="J25" s="3"/>
      <x:c r="K25" s="3"/>
      <x:c r="L25" s="3"/>
      <x:c r="M25" s="3"/>
      <x:c r="N25" s="3"/>
      <x:c r="O25" s="3"/>
      <x:c r="P25" s="3"/>
      <x:c r="Q25" s="3"/>
      <x:c r="R25" s="3"/>
    </x:row>
    <x:row r="26" ht="34" customHeight="1">
      <x:c r="A26" s="46"/>
      <x:c r="B26" s="46"/>
      <x:c r="C26" s="46"/>
      <x:c r="D26" s="80"/>
      <x:c r="E26" s="46"/>
      <x:c r="F26" s="46"/>
      <x:c r="G26" s="46"/>
      <x:c r="H26" s="83" t="str">
        <x:f>IF(A26="","",IF(AND(C26&lt;&gt;"Delivered",ISNUMBER(D26),ISNUMBER('01 Setup'!$B$31),'01 Setup'!$B$31&gt;=D26),('01 Setup'!$B$31-D26)*'01 Setup'!$B$22,""))</x:f>
      </x:c>
      <x:c r="I26" s="46"/>
      <x:c r="J26" s="3"/>
      <x:c r="K26" s="3"/>
      <x:c r="L26" s="3"/>
      <x:c r="M26" s="3"/>
      <x:c r="N26" s="3"/>
      <x:c r="O26" s="3"/>
      <x:c r="P26" s="3"/>
      <x:c r="Q26" s="3"/>
      <x:c r="R26" s="3"/>
    </x:row>
    <x:row r="27" ht="34" customHeight="1">
      <x:c r="A27" s="46"/>
      <x:c r="B27" s="46"/>
      <x:c r="C27" s="46"/>
      <x:c r="D27" s="80"/>
      <x:c r="E27" s="46"/>
      <x:c r="F27" s="46"/>
      <x:c r="G27" s="46"/>
      <x:c r="H27" s="83" t="str">
        <x:f>IF(A27="","",IF(AND(C27&lt;&gt;"Delivered",ISNUMBER(D27),ISNUMBER('01 Setup'!$B$31),'01 Setup'!$B$31&gt;=D27),('01 Setup'!$B$31-D27)*'01 Setup'!$B$22,""))</x:f>
      </x:c>
      <x:c r="I27" s="46"/>
      <x:c r="J27" s="3"/>
      <x:c r="K27" s="3"/>
      <x:c r="L27" s="3"/>
      <x:c r="M27" s="3"/>
      <x:c r="N27" s="3"/>
      <x:c r="O27" s="3"/>
      <x:c r="P27" s="3"/>
      <x:c r="Q27" s="3"/>
      <x:c r="R27" s="3"/>
    </x:row>
    <x:row r="28" ht="34" customHeight="1">
      <x:c r="A28" s="46"/>
      <x:c r="B28" s="46"/>
      <x:c r="C28" s="46"/>
      <x:c r="D28" s="80"/>
      <x:c r="E28" s="46"/>
      <x:c r="F28" s="46"/>
      <x:c r="G28" s="46"/>
      <x:c r="H28" s="83" t="str">
        <x:f>IF(A28="","",IF(AND(C28&lt;&gt;"Delivered",ISNUMBER(D28),ISNUMBER('01 Setup'!$B$31),'01 Setup'!$B$31&gt;=D28),('01 Setup'!$B$31-D28)*'01 Setup'!$B$22,""))</x:f>
      </x:c>
      <x:c r="I28" s="46"/>
      <x:c r="J28" s="3"/>
      <x:c r="K28" s="3"/>
      <x:c r="L28" s="3"/>
      <x:c r="M28" s="3"/>
      <x:c r="N28" s="3"/>
      <x:c r="O28" s="3"/>
      <x:c r="P28" s="3"/>
      <x:c r="Q28" s="3"/>
      <x:c r="R28" s="3"/>
    </x:row>
    <x:row r="29" ht="34" customHeight="1">
      <x:c r="A29" s="46"/>
      <x:c r="B29" s="46"/>
      <x:c r="C29" s="46"/>
      <x:c r="D29" s="80"/>
      <x:c r="E29" s="46"/>
      <x:c r="F29" s="46"/>
      <x:c r="G29" s="46"/>
      <x:c r="H29" s="83" t="str">
        <x:f>IF(A29="","",IF(AND(C29&lt;&gt;"Delivered",ISNUMBER(D29),ISNUMBER('01 Setup'!$B$31),'01 Setup'!$B$31&gt;=D29),('01 Setup'!$B$31-D29)*'01 Setup'!$B$22,""))</x:f>
      </x:c>
      <x:c r="I29" s="46"/>
      <x:c r="J29" s="3"/>
      <x:c r="K29" s="3"/>
      <x:c r="L29" s="3"/>
      <x:c r="M29" s="3"/>
      <x:c r="N29" s="3"/>
      <x:c r="O29" s="3"/>
      <x:c r="P29" s="3"/>
      <x:c r="Q29" s="3"/>
      <x:c r="R29" s="3"/>
    </x:row>
    <x:row r="30" ht="34" customHeight="1">
      <x:c r="A30" s="46"/>
      <x:c r="B30" s="46"/>
      <x:c r="C30" s="46"/>
      <x:c r="D30" s="80"/>
      <x:c r="E30" s="46"/>
      <x:c r="F30" s="46"/>
      <x:c r="G30" s="46"/>
      <x:c r="H30" s="83" t="str">
        <x:f>IF(A30="","",IF(AND(C30&lt;&gt;"Delivered",ISNUMBER(D30),ISNUMBER('01 Setup'!$B$31),'01 Setup'!$B$31&gt;=D30),('01 Setup'!$B$31-D30)*'01 Setup'!$B$22,""))</x:f>
      </x:c>
      <x:c r="I30" s="46"/>
      <x:c r="J30" s="3"/>
      <x:c r="K30" s="3"/>
      <x:c r="L30" s="3"/>
      <x:c r="M30" s="3"/>
      <x:c r="N30" s="3"/>
      <x:c r="O30" s="3"/>
      <x:c r="P30" s="3"/>
      <x:c r="Q30" s="3"/>
      <x:c r="R30" s="3"/>
    </x:row>
    <x:row r="31" ht="34" customHeight="1">
      <x:c r="A31" s="46"/>
      <x:c r="B31" s="46"/>
      <x:c r="C31" s="46"/>
      <x:c r="D31" s="80"/>
      <x:c r="E31" s="46"/>
      <x:c r="F31" s="46"/>
      <x:c r="G31" s="46"/>
      <x:c r="H31" s="83" t="str">
        <x:f>IF(A31="","",IF(AND(C31&lt;&gt;"Delivered",ISNUMBER(D31),ISNUMBER('01 Setup'!$B$31),'01 Setup'!$B$31&gt;=D31),('01 Setup'!$B$31-D31)*'01 Setup'!$B$22,""))</x:f>
      </x:c>
      <x:c r="I31" s="46"/>
      <x:c r="J31" s="3"/>
      <x:c r="K31" s="3"/>
      <x:c r="L31" s="3"/>
      <x:c r="M31" s="3"/>
      <x:c r="N31" s="3"/>
      <x:c r="O31" s="3"/>
      <x:c r="P31" s="3"/>
      <x:c r="Q31" s="3"/>
      <x:c r="R31" s="3"/>
    </x:row>
    <x:row r="32" ht="34" customHeight="1">
      <x:c r="A32" s="46"/>
      <x:c r="B32" s="46"/>
      <x:c r="C32" s="46"/>
      <x:c r="D32" s="80"/>
      <x:c r="E32" s="46"/>
      <x:c r="F32" s="46"/>
      <x:c r="G32" s="46"/>
      <x:c r="H32" s="83" t="str">
        <x:f>IF(A32="","",IF(AND(C32&lt;&gt;"Delivered",ISNUMBER(D32),ISNUMBER('01 Setup'!$B$31),'01 Setup'!$B$31&gt;=D32),('01 Setup'!$B$31-D32)*'01 Setup'!$B$22,""))</x:f>
      </x:c>
      <x:c r="I32" s="46"/>
      <x:c r="J32" s="3"/>
      <x:c r="K32" s="3"/>
      <x:c r="L32" s="3"/>
      <x:c r="M32" s="3"/>
      <x:c r="N32" s="3"/>
      <x:c r="O32" s="3"/>
      <x:c r="P32" s="3"/>
      <x:c r="Q32" s="3"/>
      <x:c r="R32" s="3"/>
    </x:row>
    <x:row r="33" ht="34" customHeight="1">
      <x:c r="A33" s="46"/>
      <x:c r="B33" s="46"/>
      <x:c r="C33" s="46"/>
      <x:c r="D33" s="80"/>
      <x:c r="E33" s="46"/>
      <x:c r="F33" s="46"/>
      <x:c r="G33" s="46"/>
      <x:c r="H33" s="83" t="str">
        <x:f>IF(A33="","",IF(AND(C33&lt;&gt;"Delivered",ISNUMBER(D33),ISNUMBER('01 Setup'!$B$31),'01 Setup'!$B$31&gt;=D33),('01 Setup'!$B$31-D33)*'01 Setup'!$B$22,""))</x:f>
      </x:c>
      <x:c r="I33" s="46"/>
      <x:c r="J33" s="3"/>
      <x:c r="K33" s="3"/>
      <x:c r="L33" s="3"/>
      <x:c r="M33" s="3"/>
      <x:c r="N33" s="3"/>
      <x:c r="O33" s="3"/>
      <x:c r="P33" s="3"/>
      <x:c r="Q33" s="3"/>
      <x:c r="R33" s="3"/>
    </x:row>
    <x:row r="34" ht="34" customHeight="1">
      <x:c r="A34" s="46"/>
      <x:c r="B34" s="46"/>
      <x:c r="C34" s="46"/>
      <x:c r="D34" s="80"/>
      <x:c r="E34" s="46"/>
      <x:c r="F34" s="46"/>
      <x:c r="G34" s="46"/>
      <x:c r="H34" s="83" t="str">
        <x:f>IF(A34="","",IF(AND(C34&lt;&gt;"Delivered",ISNUMBER(D34),ISNUMBER('01 Setup'!$B$31),'01 Setup'!$B$31&gt;=D34),('01 Setup'!$B$31-D34)*'01 Setup'!$B$22,""))</x:f>
      </x:c>
      <x:c r="I34" s="46"/>
      <x:c r="J34" s="3"/>
      <x:c r="K34" s="3"/>
      <x:c r="L34" s="3"/>
      <x:c r="M34" s="3"/>
      <x:c r="N34" s="3"/>
      <x:c r="O34" s="3"/>
      <x:c r="P34" s="3"/>
      <x:c r="Q34" s="3"/>
      <x:c r="R34" s="3"/>
    </x:row>
    <x:row r="35" ht="34" customHeight="1">
      <x:c r="A35" s="46"/>
      <x:c r="B35" s="46"/>
      <x:c r="C35" s="46"/>
      <x:c r="D35" s="80"/>
      <x:c r="E35" s="46"/>
      <x:c r="F35" s="46"/>
      <x:c r="G35" s="46"/>
      <x:c r="H35" s="83" t="str">
        <x:f>IF(A35="","",IF(AND(C35&lt;&gt;"Delivered",ISNUMBER(D35),ISNUMBER('01 Setup'!$B$31),'01 Setup'!$B$31&gt;=D35),('01 Setup'!$B$31-D35)*'01 Setup'!$B$22,""))</x:f>
      </x:c>
      <x:c r="I35" s="46"/>
      <x:c r="J35" s="3"/>
      <x:c r="K35" s="3"/>
      <x:c r="L35" s="3"/>
      <x:c r="M35" s="3"/>
      <x:c r="N35" s="3"/>
      <x:c r="O35" s="3"/>
      <x:c r="P35" s="3"/>
      <x:c r="Q35" s="3"/>
      <x:c r="R35" s="3"/>
    </x:row>
    <x:row r="36" ht="34" customHeight="1">
      <x:c r="A36" s="46"/>
      <x:c r="B36" s="46"/>
      <x:c r="C36" s="46"/>
      <x:c r="D36" s="80"/>
      <x:c r="E36" s="46"/>
      <x:c r="F36" s="46"/>
      <x:c r="G36" s="46"/>
      <x:c r="H36" s="83" t="str">
        <x:f>IF(A36="","",IF(AND(C36&lt;&gt;"Delivered",ISNUMBER(D36),ISNUMBER('01 Setup'!$B$31),'01 Setup'!$B$31&gt;=D36),('01 Setup'!$B$31-D36)*'01 Setup'!$B$22,""))</x:f>
      </x:c>
      <x:c r="I36" s="46"/>
      <x:c r="J36" s="3"/>
      <x:c r="K36" s="3"/>
      <x:c r="L36" s="3"/>
      <x:c r="M36" s="3"/>
      <x:c r="N36" s="3"/>
      <x:c r="O36" s="3"/>
      <x:c r="P36" s="3"/>
      <x:c r="Q36" s="3"/>
      <x:c r="R36" s="3"/>
    </x:row>
    <x:row r="37" ht="34" customHeight="1">
      <x:c r="A37" s="46"/>
      <x:c r="B37" s="46"/>
      <x:c r="C37" s="46"/>
      <x:c r="D37" s="80"/>
      <x:c r="E37" s="46"/>
      <x:c r="F37" s="46"/>
      <x:c r="G37" s="46"/>
      <x:c r="H37" s="83" t="str">
        <x:f>IF(A37="","",IF(AND(C37&lt;&gt;"Delivered",ISNUMBER(D37),ISNUMBER('01 Setup'!$B$31),'01 Setup'!$B$31&gt;=D37),('01 Setup'!$B$31-D37)*'01 Setup'!$B$22,""))</x:f>
      </x:c>
      <x:c r="I37" s="46"/>
      <x:c r="J37" s="3"/>
      <x:c r="K37" s="3"/>
      <x:c r="L37" s="3"/>
      <x:c r="M37" s="3"/>
      <x:c r="N37" s="3"/>
      <x:c r="O37" s="3"/>
      <x:c r="P37" s="3"/>
      <x:c r="Q37" s="3"/>
      <x:c r="R37" s="3"/>
    </x:row>
    <x:row r="38" ht="34" customHeight="1">
      <x:c r="A38" s="46"/>
      <x:c r="B38" s="46"/>
      <x:c r="C38" s="46"/>
      <x:c r="D38" s="80"/>
      <x:c r="E38" s="46"/>
      <x:c r="F38" s="46"/>
      <x:c r="G38" s="46"/>
      <x:c r="H38" s="83" t="str">
        <x:f>IF(A38="","",IF(AND(C38&lt;&gt;"Delivered",ISNUMBER(D38),ISNUMBER('01 Setup'!$B$31),'01 Setup'!$B$31&gt;=D38),('01 Setup'!$B$31-D38)*'01 Setup'!$B$22,""))</x:f>
      </x:c>
      <x:c r="I38" s="46"/>
      <x:c r="J38" s="3"/>
      <x:c r="K38" s="3"/>
      <x:c r="L38" s="3"/>
      <x:c r="M38" s="3"/>
      <x:c r="N38" s="3"/>
      <x:c r="O38" s="3"/>
      <x:c r="P38" s="3"/>
      <x:c r="Q38" s="3"/>
      <x:c r="R38" s="3"/>
    </x:row>
    <x:row r="39" ht="34" customHeight="1">
      <x:c r="A39" s="46"/>
      <x:c r="B39" s="46"/>
      <x:c r="C39" s="46"/>
      <x:c r="D39" s="80"/>
      <x:c r="E39" s="46"/>
      <x:c r="F39" s="46"/>
      <x:c r="G39" s="46"/>
      <x:c r="H39" s="83" t="str">
        <x:f>IF(A39="","",IF(AND(C39&lt;&gt;"Delivered",ISNUMBER(D39),ISNUMBER('01 Setup'!$B$31),'01 Setup'!$B$31&gt;=D39),('01 Setup'!$B$31-D39)*'01 Setup'!$B$22,""))</x:f>
      </x:c>
      <x:c r="I39" s="46"/>
      <x:c r="J39" s="3"/>
      <x:c r="K39" s="3"/>
      <x:c r="L39" s="3"/>
      <x:c r="M39" s="3"/>
      <x:c r="N39" s="3"/>
      <x:c r="O39" s="3"/>
      <x:c r="P39" s="3"/>
      <x:c r="Q39" s="3"/>
      <x:c r="R39" s="3"/>
    </x:row>
    <x:row r="40" ht="34" customHeight="1">
      <x:c r="A40" s="46"/>
      <x:c r="B40" s="46"/>
      <x:c r="C40" s="46"/>
      <x:c r="D40" s="80"/>
      <x:c r="E40" s="46"/>
      <x:c r="F40" s="46"/>
      <x:c r="G40" s="46"/>
      <x:c r="H40" s="83" t="str">
        <x:f>IF(A40="","",IF(AND(C40&lt;&gt;"Delivered",ISNUMBER(D40),ISNUMBER('01 Setup'!$B$31),'01 Setup'!$B$31&gt;=D40),('01 Setup'!$B$31-D40)*'01 Setup'!$B$22,""))</x:f>
      </x:c>
      <x:c r="I40" s="46"/>
      <x:c r="J40" s="3"/>
      <x:c r="K40" s="3"/>
      <x:c r="L40" s="3"/>
      <x:c r="M40" s="3"/>
      <x:c r="N40" s="3"/>
      <x:c r="O40" s="3"/>
      <x:c r="P40" s="3"/>
      <x:c r="Q40" s="3"/>
      <x:c r="R40" s="3"/>
    </x:row>
    <x:row r="41" ht="34" customHeight="1">
      <x:c r="A41" s="46"/>
      <x:c r="B41" s="46"/>
      <x:c r="C41" s="46"/>
      <x:c r="D41" s="80"/>
      <x:c r="E41" s="46"/>
      <x:c r="F41" s="46"/>
      <x:c r="G41" s="46"/>
      <x:c r="H41" s="83" t="str">
        <x:f>IF(A41="","",IF(AND(C41&lt;&gt;"Delivered",ISNUMBER(D41),ISNUMBER('01 Setup'!$B$31),'01 Setup'!$B$31&gt;=D41),('01 Setup'!$B$31-D41)*'01 Setup'!$B$22,""))</x:f>
      </x:c>
      <x:c r="I41" s="46"/>
      <x:c r="J41" s="3"/>
      <x:c r="K41" s="3"/>
      <x:c r="L41" s="3"/>
      <x:c r="M41" s="3"/>
      <x:c r="N41" s="3"/>
      <x:c r="O41" s="3"/>
      <x:c r="P41" s="3"/>
      <x:c r="Q41" s="3"/>
      <x:c r="R41" s="3"/>
    </x:row>
    <x:row r="42" ht="34" customHeight="1">
      <x:c r="A42" s="46"/>
      <x:c r="B42" s="46"/>
      <x:c r="C42" s="46"/>
      <x:c r="D42" s="80"/>
      <x:c r="E42" s="46"/>
      <x:c r="F42" s="46"/>
      <x:c r="G42" s="46"/>
      <x:c r="H42" s="83" t="str">
        <x:f>IF(A42="","",IF(AND(C42&lt;&gt;"Delivered",ISNUMBER(D42),ISNUMBER('01 Setup'!$B$31),'01 Setup'!$B$31&gt;=D42),('01 Setup'!$B$31-D42)*'01 Setup'!$B$22,""))</x:f>
      </x:c>
      <x:c r="I42" s="46"/>
      <x:c r="J42" s="3"/>
      <x:c r="K42" s="3"/>
      <x:c r="L42" s="3"/>
      <x:c r="M42" s="3"/>
      <x:c r="N42" s="3"/>
      <x:c r="O42" s="3"/>
      <x:c r="P42" s="3"/>
      <x:c r="Q42" s="3"/>
      <x:c r="R42" s="3"/>
    </x:row>
    <x:row r="43" ht="34" customHeight="1">
      <x:c r="A43" s="46"/>
      <x:c r="B43" s="46"/>
      <x:c r="C43" s="46"/>
      <x:c r="D43" s="80"/>
      <x:c r="E43" s="46"/>
      <x:c r="F43" s="46"/>
      <x:c r="G43" s="46"/>
      <x:c r="H43" s="83" t="str">
        <x:f>IF(A43="","",IF(AND(C43&lt;&gt;"Delivered",ISNUMBER(D43),ISNUMBER('01 Setup'!$B$31),'01 Setup'!$B$31&gt;=D43),('01 Setup'!$B$31-D43)*'01 Setup'!$B$22,""))</x:f>
      </x:c>
      <x:c r="I43" s="46"/>
      <x:c r="J43" s="3"/>
      <x:c r="K43" s="3"/>
      <x:c r="L43" s="3"/>
      <x:c r="M43" s="3"/>
      <x:c r="N43" s="3"/>
      <x:c r="O43" s="3"/>
      <x:c r="P43" s="3"/>
      <x:c r="Q43" s="3"/>
      <x:c r="R43" s="3"/>
    </x:row>
    <x:row r="44" ht="34" customHeight="1">
      <x:c r="A44" s="46"/>
      <x:c r="B44" s="46"/>
      <x:c r="C44" s="46"/>
      <x:c r="D44" s="80"/>
      <x:c r="E44" s="46"/>
      <x:c r="F44" s="46"/>
      <x:c r="G44" s="46"/>
      <x:c r="H44" s="83" t="str">
        <x:f>IF(A44="","",IF(AND(C44&lt;&gt;"Delivered",ISNUMBER(D44),ISNUMBER('01 Setup'!$B$31),'01 Setup'!$B$31&gt;=D44),('01 Setup'!$B$31-D44)*'01 Setup'!$B$22,""))</x:f>
      </x:c>
      <x:c r="I44" s="46"/>
      <x:c r="J44" s="3"/>
      <x:c r="K44" s="3"/>
      <x:c r="L44" s="3"/>
      <x:c r="M44" s="3"/>
      <x:c r="N44" s="3"/>
      <x:c r="O44" s="3"/>
      <x:c r="P44" s="3"/>
      <x:c r="Q44" s="3"/>
      <x:c r="R44" s="3"/>
    </x:row>
    <x:row r="45" ht="34" customHeight="1">
      <x:c r="A45" s="46"/>
      <x:c r="B45" s="46"/>
      <x:c r="C45" s="46"/>
      <x:c r="D45" s="80"/>
      <x:c r="E45" s="46"/>
      <x:c r="F45" s="46"/>
      <x:c r="G45" s="46"/>
      <x:c r="H45" s="83" t="str">
        <x:f>IF(A45="","",IF(AND(C45&lt;&gt;"Delivered",ISNUMBER(D45),ISNUMBER('01 Setup'!$B$31),'01 Setup'!$B$31&gt;=D45),('01 Setup'!$B$31-D45)*'01 Setup'!$B$22,""))</x:f>
      </x:c>
      <x:c r="I45" s="46"/>
      <x:c r="J45" s="3"/>
      <x:c r="K45" s="3"/>
      <x:c r="L45" s="3"/>
      <x:c r="M45" s="3"/>
      <x:c r="N45" s="3"/>
      <x:c r="O45" s="3"/>
      <x:c r="P45" s="3"/>
      <x:c r="Q45" s="3"/>
      <x:c r="R45" s="3"/>
    </x:row>
    <x:row r="46" ht="34" customHeight="1">
      <x:c r="A46" s="46"/>
      <x:c r="B46" s="46"/>
      <x:c r="C46" s="46"/>
      <x:c r="D46" s="80"/>
      <x:c r="E46" s="46"/>
      <x:c r="F46" s="46"/>
      <x:c r="G46" s="46"/>
      <x:c r="H46" s="83" t="str">
        <x:f>IF(A46="","",IF(AND(C46&lt;&gt;"Delivered",ISNUMBER(D46),ISNUMBER('01 Setup'!$B$31),'01 Setup'!$B$31&gt;=D46),('01 Setup'!$B$31-D46)*'01 Setup'!$B$22,""))</x:f>
      </x:c>
      <x:c r="I46" s="46"/>
      <x:c r="J46" s="3"/>
      <x:c r="K46" s="3"/>
      <x:c r="L46" s="3"/>
      <x:c r="M46" s="3"/>
      <x:c r="N46" s="3"/>
      <x:c r="O46" s="3"/>
      <x:c r="P46" s="3"/>
      <x:c r="Q46" s="3"/>
      <x:c r="R46" s="3"/>
    </x:row>
    <x:row r="47" ht="34" customHeight="1">
      <x:c r="A47" s="46"/>
      <x:c r="B47" s="46"/>
      <x:c r="C47" s="46"/>
      <x:c r="D47" s="80"/>
      <x:c r="E47" s="46"/>
      <x:c r="F47" s="46"/>
      <x:c r="G47" s="46"/>
      <x:c r="H47" s="83" t="str">
        <x:f>IF(A47="","",IF(AND(C47&lt;&gt;"Delivered",ISNUMBER(D47),ISNUMBER('01 Setup'!$B$31),'01 Setup'!$B$31&gt;=D47),('01 Setup'!$B$31-D47)*'01 Setup'!$B$22,""))</x:f>
      </x:c>
      <x:c r="I47" s="46"/>
      <x:c r="J47" s="3"/>
      <x:c r="K47" s="3"/>
      <x:c r="L47" s="3"/>
      <x:c r="M47" s="3"/>
      <x:c r="N47" s="3"/>
      <x:c r="O47" s="3"/>
      <x:c r="P47" s="3"/>
      <x:c r="Q47" s="3"/>
      <x:c r="R47" s="3"/>
    </x:row>
    <x:row r="48" ht="34" customHeight="1">
      <x:c r="A48" s="46"/>
      <x:c r="B48" s="46"/>
      <x:c r="C48" s="46"/>
      <x:c r="D48" s="80"/>
      <x:c r="E48" s="46"/>
      <x:c r="F48" s="46"/>
      <x:c r="G48" s="46"/>
      <x:c r="H48" s="83" t="str">
        <x:f>IF(A48="","",IF(AND(C48&lt;&gt;"Delivered",ISNUMBER(D48),ISNUMBER('01 Setup'!$B$31),'01 Setup'!$B$31&gt;=D48),('01 Setup'!$B$31-D48)*'01 Setup'!$B$22,""))</x:f>
      </x:c>
      <x:c r="I48" s="46"/>
      <x:c r="J48" s="3"/>
      <x:c r="K48" s="3"/>
      <x:c r="L48" s="3"/>
      <x:c r="M48" s="3"/>
      <x:c r="N48" s="3"/>
      <x:c r="O48" s="3"/>
      <x:c r="P48" s="3"/>
      <x:c r="Q48" s="3"/>
      <x:c r="R48" s="3"/>
    </x:row>
    <x:row r="49" ht="34" customHeight="1">
      <x:c r="A49" s="46"/>
      <x:c r="B49" s="46"/>
      <x:c r="C49" s="46"/>
      <x:c r="D49" s="80"/>
      <x:c r="E49" s="46"/>
      <x:c r="F49" s="46"/>
      <x:c r="G49" s="46"/>
      <x:c r="H49" s="83" t="str">
        <x:f>IF(A49="","",IF(AND(C49&lt;&gt;"Delivered",ISNUMBER(D49),ISNUMBER('01 Setup'!$B$31),'01 Setup'!$B$31&gt;=D49),('01 Setup'!$B$31-D49)*'01 Setup'!$B$22,""))</x:f>
      </x:c>
      <x:c r="I49" s="46"/>
      <x:c r="J49" s="3"/>
      <x:c r="K49" s="3"/>
      <x:c r="L49" s="3"/>
      <x:c r="M49" s="3"/>
      <x:c r="N49" s="3"/>
      <x:c r="O49" s="3"/>
      <x:c r="P49" s="3"/>
      <x:c r="Q49" s="3"/>
      <x:c r="R49" s="3"/>
    </x:row>
    <x:row r="50" ht="34" customHeight="1">
      <x:c r="A50" s="46"/>
      <x:c r="B50" s="46"/>
      <x:c r="C50" s="46"/>
      <x:c r="D50" s="80"/>
      <x:c r="E50" s="46"/>
      <x:c r="F50" s="46"/>
      <x:c r="G50" s="46"/>
      <x:c r="H50" s="83" t="str">
        <x:f>IF(A50="","",IF(AND(C50&lt;&gt;"Delivered",ISNUMBER(D50),ISNUMBER('01 Setup'!$B$31),'01 Setup'!$B$31&gt;=D50),('01 Setup'!$B$31-D50)*'01 Setup'!$B$22,""))</x:f>
      </x:c>
      <x:c r="I50" s="46"/>
      <x:c r="J50" s="3"/>
      <x:c r="K50" s="3"/>
      <x:c r="L50" s="3"/>
      <x:c r="M50" s="3"/>
      <x:c r="N50" s="3"/>
      <x:c r="O50" s="3"/>
      <x:c r="P50" s="3"/>
      <x:c r="Q50" s="3"/>
      <x:c r="R50" s="3"/>
    </x:row>
    <x:row r="51" ht="34" customHeight="1">
      <x:c r="A51" s="46"/>
      <x:c r="B51" s="46"/>
      <x:c r="C51" s="46"/>
      <x:c r="D51" s="80"/>
      <x:c r="E51" s="46"/>
      <x:c r="F51" s="46"/>
      <x:c r="G51" s="46"/>
      <x:c r="H51" s="83" t="str">
        <x:f>IF(A51="","",IF(AND(C51&lt;&gt;"Delivered",ISNUMBER(D51),ISNUMBER('01 Setup'!$B$31),'01 Setup'!$B$31&gt;=D51),('01 Setup'!$B$31-D51)*'01 Setup'!$B$22,""))</x:f>
      </x:c>
      <x:c r="I51" s="46"/>
      <x:c r="J51" s="3"/>
      <x:c r="K51" s="3"/>
      <x:c r="L51" s="3"/>
      <x:c r="M51" s="3"/>
      <x:c r="N51" s="3"/>
      <x:c r="O51" s="3"/>
      <x:c r="P51" s="3"/>
      <x:c r="Q51" s="3"/>
      <x:c r="R51" s="3"/>
    </x:row>
    <x:row r="52" ht="34" customHeight="1">
      <x:c r="A52" s="46"/>
      <x:c r="B52" s="46"/>
      <x:c r="C52" s="46"/>
      <x:c r="D52" s="80"/>
      <x:c r="E52" s="46"/>
      <x:c r="F52" s="46"/>
      <x:c r="G52" s="46"/>
      <x:c r="H52" s="83" t="str">
        <x:f>IF(A52="","",IF(AND(C52&lt;&gt;"Delivered",ISNUMBER(D52),ISNUMBER('01 Setup'!$B$31),'01 Setup'!$B$31&gt;=D52),('01 Setup'!$B$31-D52)*'01 Setup'!$B$22,""))</x:f>
      </x:c>
      <x:c r="I52" s="46"/>
      <x:c r="J52" s="3"/>
      <x:c r="K52" s="3"/>
      <x:c r="L52" s="3"/>
      <x:c r="M52" s="3"/>
      <x:c r="N52" s="3"/>
      <x:c r="O52" s="3"/>
      <x:c r="P52" s="3"/>
      <x:c r="Q52" s="3"/>
      <x:c r="R52" s="3"/>
    </x:row>
    <x:row r="53" ht="34" customHeight="1">
      <x:c r="A53" s="46"/>
      <x:c r="B53" s="46"/>
      <x:c r="C53" s="46"/>
      <x:c r="D53" s="80"/>
      <x:c r="E53" s="46"/>
      <x:c r="F53" s="46"/>
      <x:c r="G53" s="46"/>
      <x:c r="H53" s="83" t="str">
        <x:f>IF(A53="","",IF(AND(C53&lt;&gt;"Delivered",ISNUMBER(D53),ISNUMBER('01 Setup'!$B$31),'01 Setup'!$B$31&gt;=D53),('01 Setup'!$B$31-D53)*'01 Setup'!$B$22,""))</x:f>
      </x:c>
      <x:c r="I53" s="46"/>
      <x:c r="J53" s="3"/>
      <x:c r="K53" s="3"/>
      <x:c r="L53" s="3"/>
      <x:c r="M53" s="3"/>
      <x:c r="N53" s="3"/>
      <x:c r="O53" s="3"/>
      <x:c r="P53" s="3"/>
      <x:c r="Q53" s="3"/>
      <x:c r="R53" s="3"/>
    </x:row>
    <x:row r="54" ht="34" customHeight="1">
      <x:c r="A54" s="46"/>
      <x:c r="B54" s="46"/>
      <x:c r="C54" s="46"/>
      <x:c r="D54" s="80"/>
      <x:c r="E54" s="46"/>
      <x:c r="F54" s="46"/>
      <x:c r="G54" s="46"/>
      <x:c r="H54" s="83" t="str">
        <x:f>IF(A54="","",IF(AND(C54&lt;&gt;"Delivered",ISNUMBER(D54),ISNUMBER('01 Setup'!$B$31),'01 Setup'!$B$31&gt;=D54),('01 Setup'!$B$31-D54)*'01 Setup'!$B$22,""))</x:f>
      </x:c>
      <x:c r="I54" s="46"/>
      <x:c r="J54" s="3"/>
      <x:c r="K54" s="3"/>
      <x:c r="L54" s="3"/>
      <x:c r="M54" s="3"/>
      <x:c r="N54" s="3"/>
      <x:c r="O54" s="3"/>
      <x:c r="P54" s="3"/>
      <x:c r="Q54" s="3"/>
      <x:c r="R54" s="3"/>
    </x:row>
    <x:row r="55" ht="34" customHeight="1">
      <x:c r="A55" s="46"/>
      <x:c r="B55" s="46"/>
      <x:c r="C55" s="46"/>
      <x:c r="D55" s="80"/>
      <x:c r="E55" s="46"/>
      <x:c r="F55" s="46"/>
      <x:c r="G55" s="46"/>
      <x:c r="H55" s="83" t="str">
        <x:f>IF(A55="","",IF(AND(C55&lt;&gt;"Delivered",ISNUMBER(D55),ISNUMBER('01 Setup'!$B$31),'01 Setup'!$B$31&gt;=D55),('01 Setup'!$B$31-D55)*'01 Setup'!$B$22,""))</x:f>
      </x:c>
      <x:c r="I55" s="46"/>
      <x:c r="J55" s="3"/>
      <x:c r="K55" s="3"/>
      <x:c r="L55" s="3"/>
      <x:c r="M55" s="3"/>
      <x:c r="N55" s="3"/>
      <x:c r="O55" s="3"/>
      <x:c r="P55" s="3"/>
      <x:c r="Q55" s="3"/>
      <x:c r="R55" s="3"/>
    </x:row>
    <x:row r="56" ht="34" customHeight="1">
      <x:c r="A56" s="46"/>
      <x:c r="B56" s="46"/>
      <x:c r="C56" s="46"/>
      <x:c r="D56" s="80"/>
      <x:c r="E56" s="46"/>
      <x:c r="F56" s="46"/>
      <x:c r="G56" s="46"/>
      <x:c r="H56" s="83" t="str">
        <x:f>IF(A56="","",IF(AND(C56&lt;&gt;"Delivered",ISNUMBER(D56),ISNUMBER('01 Setup'!$B$31),'01 Setup'!$B$31&gt;=D56),('01 Setup'!$B$31-D56)*'01 Setup'!$B$22,""))</x:f>
      </x:c>
      <x:c r="I56" s="46"/>
      <x:c r="J56" s="3"/>
      <x:c r="K56" s="3"/>
      <x:c r="L56" s="3"/>
      <x:c r="M56" s="3"/>
      <x:c r="N56" s="3"/>
      <x:c r="O56" s="3"/>
      <x:c r="P56" s="3"/>
      <x:c r="Q56" s="3"/>
      <x:c r="R56" s="3"/>
    </x:row>
    <x:row r="57" ht="34" customHeight="1">
      <x:c r="A57" s="46"/>
      <x:c r="B57" s="46"/>
      <x:c r="C57" s="46"/>
      <x:c r="D57" s="80"/>
      <x:c r="E57" s="46"/>
      <x:c r="F57" s="46"/>
      <x:c r="G57" s="46"/>
      <x:c r="H57" s="83" t="str">
        <x:f>IF(A57="","",IF(AND(C57&lt;&gt;"Delivered",ISNUMBER(D57),ISNUMBER('01 Setup'!$B$31),'01 Setup'!$B$31&gt;=D57),('01 Setup'!$B$31-D57)*'01 Setup'!$B$22,""))</x:f>
      </x:c>
      <x:c r="I57" s="46"/>
      <x:c r="J57" s="3"/>
      <x:c r="K57" s="3"/>
      <x:c r="L57" s="3"/>
      <x:c r="M57" s="3"/>
      <x:c r="N57" s="3"/>
      <x:c r="O57" s="3"/>
      <x:c r="P57" s="3"/>
      <x:c r="Q57" s="3"/>
      <x:c r="R57" s="3"/>
    </x:row>
    <x:row r="58" ht="34" customHeight="1">
      <x:c r="A58" s="46"/>
      <x:c r="B58" s="46"/>
      <x:c r="C58" s="46"/>
      <x:c r="D58" s="80"/>
      <x:c r="E58" s="46"/>
      <x:c r="F58" s="46"/>
      <x:c r="G58" s="46"/>
      <x:c r="H58" s="83" t="str">
        <x:f>IF(A58="","",IF(AND(C58&lt;&gt;"Delivered",ISNUMBER(D58),ISNUMBER('01 Setup'!$B$31),'01 Setup'!$B$31&gt;=D58),('01 Setup'!$B$31-D58)*'01 Setup'!$B$22,""))</x:f>
      </x:c>
      <x:c r="I58" s="46"/>
      <x:c r="J58" s="3"/>
      <x:c r="K58" s="3"/>
      <x:c r="L58" s="3"/>
      <x:c r="M58" s="3"/>
      <x:c r="N58" s="3"/>
      <x:c r="O58" s="3"/>
      <x:c r="P58" s="3"/>
      <x:c r="Q58" s="3"/>
      <x:c r="R58" s="3"/>
    </x:row>
    <x:row r="59" ht="34" customHeight="1">
      <x:c r="A59" s="46"/>
      <x:c r="B59" s="46"/>
      <x:c r="C59" s="46"/>
      <x:c r="D59" s="80"/>
      <x:c r="E59" s="46"/>
      <x:c r="F59" s="46"/>
      <x:c r="G59" s="46"/>
      <x:c r="H59" s="83" t="str">
        <x:f>IF(A59="","",IF(AND(C59&lt;&gt;"Delivered",ISNUMBER(D59),ISNUMBER('01 Setup'!$B$31),'01 Setup'!$B$31&gt;=D59),('01 Setup'!$B$31-D59)*'01 Setup'!$B$22,""))</x:f>
      </x:c>
      <x:c r="I59" s="46"/>
      <x:c r="J59" s="3"/>
      <x:c r="K59" s="3"/>
      <x:c r="L59" s="3"/>
      <x:c r="M59" s="3"/>
      <x:c r="N59" s="3"/>
      <x:c r="O59" s="3"/>
      <x:c r="P59" s="3"/>
      <x:c r="Q59" s="3"/>
      <x:c r="R59" s="3"/>
    </x:row>
    <x:row r="60" ht="34" customHeight="1">
      <x:c r="A60" s="46"/>
      <x:c r="B60" s="46"/>
      <x:c r="C60" s="46"/>
      <x:c r="D60" s="80"/>
      <x:c r="E60" s="46"/>
      <x:c r="F60" s="46"/>
      <x:c r="G60" s="46"/>
      <x:c r="H60" s="83" t="str">
        <x:f>IF(A60="","",IF(AND(C60&lt;&gt;"Delivered",ISNUMBER(D60),ISNUMBER('01 Setup'!$B$31),'01 Setup'!$B$31&gt;=D60),('01 Setup'!$B$31-D60)*'01 Setup'!$B$22,""))</x:f>
      </x:c>
      <x:c r="I60" s="46"/>
      <x:c r="J60" s="3"/>
      <x:c r="K60" s="3"/>
      <x:c r="L60" s="3"/>
      <x:c r="M60" s="3"/>
      <x:c r="N60" s="3"/>
      <x:c r="O60" s="3"/>
      <x:c r="P60" s="3"/>
      <x:c r="Q60" s="3"/>
      <x:c r="R60" s="3"/>
    </x:row>
    <x:row r="61" ht="34" customHeight="1">
      <x:c r="A61" s="46"/>
      <x:c r="B61" s="46"/>
      <x:c r="C61" s="46"/>
      <x:c r="D61" s="80"/>
      <x:c r="E61" s="46"/>
      <x:c r="F61" s="46"/>
      <x:c r="G61" s="46"/>
      <x:c r="H61" s="83" t="str">
        <x:f>IF(A61="","",IF(AND(C61&lt;&gt;"Delivered",ISNUMBER(D61),ISNUMBER('01 Setup'!$B$31),'01 Setup'!$B$31&gt;=D61),('01 Setup'!$B$31-D61)*'01 Setup'!$B$22,""))</x:f>
      </x:c>
      <x:c r="I61" s="46"/>
      <x:c r="J61" s="3"/>
      <x:c r="K61" s="3"/>
      <x:c r="L61" s="3"/>
      <x:c r="M61" s="3"/>
      <x:c r="N61" s="3"/>
      <x:c r="O61" s="3"/>
      <x:c r="P61" s="3"/>
      <x:c r="Q61" s="3"/>
      <x:c r="R61" s="3"/>
    </x:row>
    <x:row r="62" ht="34" customHeight="1">
      <x:c r="A62" s="46"/>
      <x:c r="B62" s="46"/>
      <x:c r="C62" s="46"/>
      <x:c r="D62" s="80"/>
      <x:c r="E62" s="46"/>
      <x:c r="F62" s="46"/>
      <x:c r="G62" s="46"/>
      <x:c r="H62" s="83" t="str">
        <x:f>IF(A62="","",IF(AND(C62&lt;&gt;"Delivered",ISNUMBER(D62),ISNUMBER('01 Setup'!$B$31),'01 Setup'!$B$31&gt;=D62),('01 Setup'!$B$31-D62)*'01 Setup'!$B$22,""))</x:f>
      </x:c>
      <x:c r="I62" s="46"/>
      <x:c r="J62" s="3"/>
      <x:c r="K62" s="3"/>
      <x:c r="L62" s="3"/>
      <x:c r="M62" s="3"/>
      <x:c r="N62" s="3"/>
      <x:c r="O62" s="3"/>
      <x:c r="P62" s="3"/>
      <x:c r="Q62" s="3"/>
      <x:c r="R62" s="3"/>
    </x:row>
    <x:row r="63" ht="34" customHeight="1">
      <x:c r="A63" s="46"/>
      <x:c r="B63" s="46"/>
      <x:c r="C63" s="46"/>
      <x:c r="D63" s="80"/>
      <x:c r="E63" s="46"/>
      <x:c r="F63" s="46"/>
      <x:c r="G63" s="46"/>
      <x:c r="H63" s="83" t="str">
        <x:f>IF(A63="","",IF(AND(C63&lt;&gt;"Delivered",ISNUMBER(D63),ISNUMBER('01 Setup'!$B$31),'01 Setup'!$B$31&gt;=D63),('01 Setup'!$B$31-D63)*'01 Setup'!$B$22,""))</x:f>
      </x:c>
      <x:c r="I63" s="46"/>
      <x:c r="J63" s="3"/>
      <x:c r="K63" s="3"/>
      <x:c r="L63" s="3"/>
      <x:c r="M63" s="3"/>
      <x:c r="N63" s="3"/>
      <x:c r="O63" s="3"/>
      <x:c r="P63" s="3"/>
      <x:c r="Q63" s="3"/>
      <x:c r="R63" s="3"/>
    </x:row>
    <x:row r="64" ht="34" customHeight="1">
      <x:c r="A64" s="46"/>
      <x:c r="B64" s="46"/>
      <x:c r="C64" s="46"/>
      <x:c r="D64" s="80"/>
      <x:c r="E64" s="46"/>
      <x:c r="F64" s="46"/>
      <x:c r="G64" s="46"/>
      <x:c r="H64" s="83" t="str">
        <x:f>IF(A64="","",IF(AND(C64&lt;&gt;"Delivered",ISNUMBER(D64),ISNUMBER('01 Setup'!$B$31),'01 Setup'!$B$31&gt;=D64),('01 Setup'!$B$31-D64)*'01 Setup'!$B$22,""))</x:f>
      </x:c>
      <x:c r="I64" s="46"/>
      <x:c r="J64" s="3"/>
      <x:c r="K64" s="3"/>
      <x:c r="L64" s="3"/>
      <x:c r="M64" s="3"/>
      <x:c r="N64" s="3"/>
      <x:c r="O64" s="3"/>
      <x:c r="P64" s="3"/>
      <x:c r="Q64" s="3"/>
      <x:c r="R64" s="3"/>
    </x:row>
    <x:row r="65" ht="34" customHeight="1">
      <x:c r="A65" s="46"/>
      <x:c r="B65" s="46"/>
      <x:c r="C65" s="46"/>
      <x:c r="D65" s="80"/>
      <x:c r="E65" s="46"/>
      <x:c r="F65" s="46"/>
      <x:c r="G65" s="46"/>
      <x:c r="H65" s="83" t="str">
        <x:f>IF(A65="","",IF(AND(C65&lt;&gt;"Delivered",ISNUMBER(D65),ISNUMBER('01 Setup'!$B$31),'01 Setup'!$B$31&gt;=D65),('01 Setup'!$B$31-D65)*'01 Setup'!$B$22,""))</x:f>
      </x:c>
      <x:c r="I65" s="46"/>
      <x:c r="J65" s="3"/>
      <x:c r="K65" s="3"/>
      <x:c r="L65" s="3"/>
      <x:c r="M65" s="3"/>
      <x:c r="N65" s="3"/>
      <x:c r="O65" s="3"/>
      <x:c r="P65" s="3"/>
      <x:c r="Q65" s="3"/>
      <x:c r="R65" s="3"/>
    </x:row>
    <x:row r="66" ht="34" customHeight="1">
      <x:c r="A66" s="46"/>
      <x:c r="B66" s="46"/>
      <x:c r="C66" s="46"/>
      <x:c r="D66" s="80"/>
      <x:c r="E66" s="46"/>
      <x:c r="F66" s="46"/>
      <x:c r="G66" s="46"/>
      <x:c r="H66" s="83" t="str">
        <x:f>IF(A66="","",IF(AND(C66&lt;&gt;"Delivered",ISNUMBER(D66),ISNUMBER('01 Setup'!$B$31),'01 Setup'!$B$31&gt;=D66),('01 Setup'!$B$31-D66)*'01 Setup'!$B$22,""))</x:f>
      </x:c>
      <x:c r="I66" s="46"/>
      <x:c r="J66" s="3"/>
      <x:c r="K66" s="3"/>
      <x:c r="L66" s="3"/>
      <x:c r="M66" s="3"/>
      <x:c r="N66" s="3"/>
      <x:c r="O66" s="3"/>
      <x:c r="P66" s="3"/>
      <x:c r="Q66" s="3"/>
      <x:c r="R66" s="3"/>
    </x:row>
    <x:row r="67" ht="34" customHeight="1">
      <x:c r="A67" s="46"/>
      <x:c r="B67" s="46"/>
      <x:c r="C67" s="46"/>
      <x:c r="D67" s="80"/>
      <x:c r="E67" s="46"/>
      <x:c r="F67" s="46"/>
      <x:c r="G67" s="46"/>
      <x:c r="H67" s="83" t="str">
        <x:f>IF(A67="","",IF(AND(C67&lt;&gt;"Delivered",ISNUMBER(D67),ISNUMBER('01 Setup'!$B$31),'01 Setup'!$B$31&gt;=D67),('01 Setup'!$B$31-D67)*'01 Setup'!$B$22,""))</x:f>
      </x:c>
      <x:c r="I67" s="46"/>
      <x:c r="J67" s="3"/>
      <x:c r="K67" s="3"/>
      <x:c r="L67" s="3"/>
      <x:c r="M67" s="3"/>
      <x:c r="N67" s="3"/>
      <x:c r="O67" s="3"/>
      <x:c r="P67" s="3"/>
      <x:c r="Q67" s="3"/>
      <x:c r="R67" s="3"/>
    </x:row>
    <x:row r="68" ht="34" customHeight="1">
      <x:c r="A68" s="46"/>
      <x:c r="B68" s="46"/>
      <x:c r="C68" s="46"/>
      <x:c r="D68" s="80"/>
      <x:c r="E68" s="46"/>
      <x:c r="F68" s="46"/>
      <x:c r="G68" s="46"/>
      <x:c r="H68" s="83" t="str">
        <x:f>IF(A68="","",IF(AND(C68&lt;&gt;"Delivered",ISNUMBER(D68),ISNUMBER('01 Setup'!$B$31),'01 Setup'!$B$31&gt;=D68),('01 Setup'!$B$31-D68)*'01 Setup'!$B$22,""))</x:f>
      </x:c>
      <x:c r="I68" s="46"/>
      <x:c r="J68" s="3"/>
      <x:c r="K68" s="3"/>
      <x:c r="L68" s="3"/>
      <x:c r="M68" s="3"/>
      <x:c r="N68" s="3"/>
      <x:c r="O68" s="3"/>
      <x:c r="P68" s="3"/>
      <x:c r="Q68" s="3"/>
      <x:c r="R68" s="3"/>
    </x:row>
    <x:row r="69" ht="34" customHeight="1">
      <x:c r="A69" s="46"/>
      <x:c r="B69" s="46"/>
      <x:c r="C69" s="46"/>
      <x:c r="D69" s="80"/>
      <x:c r="E69" s="46"/>
      <x:c r="F69" s="46"/>
      <x:c r="G69" s="46"/>
      <x:c r="H69" s="83" t="str">
        <x:f>IF(A69="","",IF(AND(C69&lt;&gt;"Delivered",ISNUMBER(D69),ISNUMBER('01 Setup'!$B$31),'01 Setup'!$B$31&gt;=D69),('01 Setup'!$B$31-D69)*'01 Setup'!$B$22,""))</x:f>
      </x:c>
      <x:c r="I69" s="46"/>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L02</x:v>
      </x:c>
      <x:c r="B110" s="34"/>
      <x:c r="C110" s="34"/>
      <x:c r="D110" s="34"/>
      <x:c r="E110" s="34"/>
      <x:c r="F110" s="34"/>
      <x:c r="G110" s="34"/>
      <x:c r="H110" s="34"/>
      <x:c r="I110" s="34"/>
      <x:c r="J110" s="34"/>
      <x:c r="K110" s="34"/>
      <x:c r="L110" s="34"/>
      <x:c r="M110" s="3"/>
      <x:c r="N110" s="3"/>
      <x:c r="O110" s="3"/>
      <x:c r="P110" s="3"/>
      <x:c r="Q110" s="3"/>
      <x:c r="R110" s="3"/>
    </x:row>
    <x:row r="111" ht="20" customHeight="1">
      <x:c r="A111" s="40" t="str">
        <x:v>01  Work item and states</x:v>
      </x:c>
      <x:c r="B111" s="40"/>
      <x:c r="C111" s="40"/>
      <x:c r="D111" s="17" t="str">
        <x:v>Define what moves across the board.</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Ready and done</x:v>
      </x:c>
      <x:c r="B117" s="40"/>
      <x:c r="C117" s="40"/>
      <x:c r="D117" s="17" t="str">
        <x:v>Specify entry and completion conditions.</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WIP policy</x:v>
      </x:c>
      <x:c r="B123" s="40"/>
      <x:c r="C123" s="40"/>
      <x:c r="D123" s="17" t="str">
        <x:v>Set the limit and counting rule.</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Pull and prioritisation</x:v>
      </x:c>
      <x:c r="B129" s="40"/>
      <x:c r="C129" s="40"/>
      <x:c r="D129" s="17" t="str">
        <x:v>Explain when work can start.</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Blockers and escalation</x:v>
      </x:c>
      <x:c r="B135" s="40"/>
      <x:c r="C135" s="40"/>
      <x:c r="D135" s="17" t="str">
        <x:v>State response and ownership.</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Review and adjustment</x:v>
      </x:c>
      <x:c r="B141" s="40"/>
      <x:c r="C141" s="40"/>
      <x:c r="D141" s="17" t="str">
        <x:v>Test whether the policy improves flow.</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A WIP limit is not permission to reject demand or hide a backlog outside the board. Track all incoming and waiting work at the agreed boundary. The initial limit is a hypothesis, not a universal Lean number.</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L05, L06, M08  |  METHOD SOURCES: U03, R22, R30</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s>
  <x:dataValidations count="2">
    <x:dataValidation type="list" sqref="C10:C69">
      <x:formula1>"Received,Clarification,Ready,In progress,Awaiting approval,Delivered"</x:formula1>
    </x:dataValidation>
    <x:dataValidation type="list" sqref="I10:I69">
      <x:formula1>"Ready,Not ready,Review"</x:formula1>
    </x:dataValidation>
  </x:dataValidations>
  <x:pageMargins left="0.7" right="0.7" top="0.75" bottom="0.75" header="0.3" footer="0.3"/>
</x:worksheet>
</file>

<file path=xl/worksheets/sheet77.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38" hidden="0" customWidth="1"/>
    <x:col min="2" max="2" width="26" hidden="0" customWidth="1"/>
    <x:col min="3" max="3" width="68"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L03  Replenishment signal and container calculation</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Size a simple replenishment signal with visible demand, lead-time and buffer assumptions.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0" customHeight="1">
      <x:c r="A9" s="3"/>
      <x:c r="B9" s="3"/>
      <x:c r="C9" s="3"/>
      <x:c r="D9" s="3"/>
      <x:c r="E9" s="3"/>
      <x:c r="F9" s="3"/>
      <x:c r="G9" s="3"/>
      <x:c r="H9" s="3"/>
      <x:c r="I9" s="3"/>
      <x:c r="J9" s="3"/>
      <x:c r="K9" s="3"/>
      <x:c r="L9" s="3"/>
      <x:c r="M9" s="3"/>
      <x:c r="N9" s="3"/>
      <x:c r="O9" s="3"/>
      <x:c r="P9" s="3"/>
      <x:c r="Q9" s="3"/>
      <x:c r="R9" s="3"/>
    </x:row>
    <x:row r="10" ht="38" customHeight="1">
      <x:c r="A10" s="95" t="str">
        <x:v>Demand units / time period</x:v>
      </x:c>
      <x:c r="B10" s="108"/>
      <x:c r="C10" s="66" t="str">
        <x:v>Measured consumption; e.g. units per working day.</x:v>
      </x:c>
      <x:c r="D10" s="3"/>
      <x:c r="E10" s="3"/>
      <x:c r="F10" s="3"/>
      <x:c r="G10" s="3"/>
      <x:c r="H10" s="3"/>
      <x:c r="I10" s="3"/>
      <x:c r="J10" s="3"/>
      <x:c r="K10" s="3"/>
      <x:c r="L10" s="3"/>
      <x:c r="M10" s="3"/>
      <x:c r="N10" s="3"/>
      <x:c r="O10" s="3"/>
      <x:c r="P10" s="3"/>
      <x:c r="Q10" s="3"/>
      <x:c r="R10" s="3"/>
    </x:row>
    <x:row r="11" ht="38" customHeight="1">
      <x:c r="A11" s="95" t="str">
        <x:v>Replenishment lead time</x:v>
      </x:c>
      <x:c r="B11" s="108"/>
      <x:c r="C11" s="66" t="str">
        <x:v>Same time period as demand rate.</x:v>
      </x:c>
      <x:c r="D11" s="3"/>
      <x:c r="E11" s="3"/>
      <x:c r="F11" s="3"/>
      <x:c r="G11" s="3"/>
      <x:c r="H11" s="3"/>
      <x:c r="I11" s="3"/>
      <x:c r="J11" s="3"/>
      <x:c r="K11" s="3"/>
      <x:c r="L11" s="3"/>
      <x:c r="M11" s="3"/>
      <x:c r="N11" s="3"/>
      <x:c r="O11" s="3"/>
      <x:c r="P11" s="3"/>
      <x:c r="Q11" s="3"/>
      <x:c r="R11" s="3"/>
    </x:row>
    <x:row r="12" ht="38" customHeight="1">
      <x:c r="A12" s="95" t="str">
        <x:v>Buffer factor</x:v>
      </x:c>
      <x:c r="B12" s="118"/>
      <x:c r="C12" s="66" t="str">
        <x:v>Explicit assumption; enter 0.20 for 20%, not 20.</x:v>
      </x:c>
      <x:c r="D12" s="3"/>
      <x:c r="E12" s="3"/>
      <x:c r="F12" s="3"/>
      <x:c r="G12" s="3"/>
      <x:c r="H12" s="3"/>
      <x:c r="I12" s="3"/>
      <x:c r="J12" s="3"/>
      <x:c r="K12" s="3"/>
      <x:c r="L12" s="3"/>
      <x:c r="M12" s="3"/>
      <x:c r="N12" s="3"/>
      <x:c r="O12" s="3"/>
      <x:c r="P12" s="3"/>
      <x:c r="Q12" s="3"/>
      <x:c r="R12" s="3"/>
    </x:row>
    <x:row r="13" ht="38" customHeight="1">
      <x:c r="A13" s="95" t="str">
        <x:v>Container quantity</x:v>
      </x:c>
      <x:c r="B13" s="108"/>
      <x:c r="C13" s="66" t="str">
        <x:v>Positive whole number of units.</x:v>
      </x:c>
      <x:c r="D13" s="3"/>
      <x:c r="E13" s="3"/>
      <x:c r="F13" s="3"/>
      <x:c r="G13" s="3"/>
      <x:c r="H13" s="3"/>
      <x:c r="I13" s="3"/>
      <x:c r="J13" s="3"/>
      <x:c r="K13" s="3"/>
      <x:c r="L13" s="3"/>
      <x:c r="M13" s="3"/>
      <x:c r="N13" s="3"/>
      <x:c r="O13" s="3"/>
      <x:c r="P13" s="3"/>
      <x:c r="Q13" s="3"/>
      <x:c r="R13" s="3"/>
    </x:row>
    <x:row r="14" ht="38" customHeight="1">
      <x:c r="A14" s="95" t="str">
        <x:v>Required containers</x:v>
      </x:c>
      <x:c r="B14" s="83" t="str">
        <x:f>IF(COUNT(B10:B13)&lt;4,"",IF(OR(B10&lt;0,B11&lt;0,B12&lt;0,B13&lt;=0,MOD(B13,1)&lt;&gt;0),"",ROUNDUP(B10*B11*(1+B12)/B13,0)))</x:f>
      </x:c>
      <x:c r="C14" s="66" t="str">
        <x:v>Round upward after dividing lead-time demand plus buffer by container size.</x:v>
      </x:c>
      <x:c r="D14" s="3"/>
      <x:c r="E14" s="3"/>
      <x:c r="F14" s="3"/>
      <x:c r="G14" s="3"/>
      <x:c r="H14" s="3"/>
      <x:c r="I14" s="3"/>
      <x:c r="J14" s="3"/>
      <x:c r="K14" s="3"/>
      <x:c r="L14" s="3"/>
      <x:c r="M14" s="3"/>
      <x:c r="N14" s="3"/>
      <x:c r="O14" s="3"/>
      <x:c r="P14" s="3"/>
      <x:c r="Q14" s="3"/>
      <x:c r="R14" s="3"/>
    </x:row>
    <x:row r="15" ht="38" customHeight="1">
      <x:c r="A15" s="95" t="str">
        <x:v>Implied stock quantity</x:v>
      </x:c>
      <x:c r="B15" s="83" t="str">
        <x:f>IF(ISNUMBER(B14),B14*B13,"")</x:f>
      </x:c>
      <x:c r="C15" s="66" t="str">
        <x:v>Containers x container quantity; not an optimisation result.</x:v>
      </x:c>
      <x:c r="D15" s="3"/>
      <x:c r="E15" s="3"/>
      <x:c r="F15" s="3"/>
      <x:c r="G15" s="3"/>
      <x:c r="H15" s="3"/>
      <x:c r="I15" s="3"/>
      <x:c r="J15" s="3"/>
      <x:c r="K15" s="3"/>
      <x:c r="L15" s="3"/>
      <x:c r="M15" s="3"/>
      <x:c r="N15" s="3"/>
      <x:c r="O15" s="3"/>
      <x:c r="P15" s="3"/>
      <x:c r="Q15" s="3"/>
      <x:c r="R15" s="3"/>
    </x:row>
    <x:row r="16" ht="38" customHeight="1">
      <x:c r="A16" s="95" t="str">
        <x:v>Readiness</x:v>
      </x:c>
      <x:c r="B16" s="83" t="str">
        <x:f>IF(COUNT(B10:B13)&lt;4,"Complete inputs",IF(OR(B10&lt;0,B11&lt;0,B12&lt;0,B13&lt;=0,MOD(B13,1)&lt;&gt;0),"Invalid inputs",IF(B12&gt;1,"Buffer exceeds 100% - confirm units","Review variability, storage and supply risk")))</x:f>
        <x:v>Complete inputs</x:v>
      </x:c>
      <x:c r="C16" s="66" t="str">
        <x:v>Use for suitable replenishment items, not automatically service WIP.</x:v>
      </x:c>
      <x:c r="D16" s="3"/>
      <x:c r="E16" s="3"/>
      <x:c r="F16" s="3"/>
      <x:c r="G16" s="3"/>
      <x:c r="H16" s="3"/>
      <x:c r="I16" s="3"/>
      <x:c r="J16" s="3"/>
      <x:c r="K16" s="3"/>
      <x:c r="L16" s="3"/>
      <x:c r="M16" s="3"/>
      <x:c r="N16" s="3"/>
      <x:c r="O16" s="3"/>
      <x:c r="P16" s="3"/>
      <x:c r="Q16" s="3"/>
      <x:c r="R16" s="3"/>
    </x:row>
    <x:row r="17" ht="20" customHeight="1">
      <x:c r="A17" s="3"/>
      <x:c r="B17" s="3"/>
      <x:c r="C17" s="3"/>
      <x:c r="D17" s="3"/>
      <x:c r="E17" s="3"/>
      <x:c r="F17" s="3"/>
      <x:c r="G17" s="3"/>
      <x:c r="H17" s="3"/>
      <x:c r="I17" s="3"/>
      <x:c r="J17" s="3"/>
      <x:c r="K17" s="3"/>
      <x:c r="L17" s="3"/>
      <x:c r="M17" s="3"/>
      <x:c r="N17" s="3"/>
      <x:c r="O17" s="3"/>
      <x:c r="P17" s="3"/>
      <x:c r="Q17" s="3"/>
      <x:c r="R17" s="3"/>
    </x:row>
    <x:row r="18" ht="20" customHeight="1">
      <x:c r="A18" s="3"/>
      <x:c r="B18" s="3"/>
      <x:c r="C18" s="3"/>
      <x:c r="D18" s="3"/>
      <x:c r="E18" s="3"/>
      <x:c r="F18" s="3"/>
      <x:c r="G18" s="3"/>
      <x:c r="H18" s="3"/>
      <x:c r="I18" s="3"/>
      <x:c r="J18" s="3"/>
      <x:c r="K18" s="3"/>
      <x:c r="L18" s="3"/>
      <x:c r="M18" s="3"/>
      <x:c r="N18" s="3"/>
      <x:c r="O18" s="3"/>
      <x:c r="P18" s="3"/>
      <x:c r="Q18" s="3"/>
      <x:c r="R18" s="3"/>
    </x:row>
    <x:row r="19" ht="20" customHeight="1">
      <x:c r="A19" s="3"/>
      <x:c r="B19" s="3"/>
      <x:c r="C19" s="3"/>
      <x:c r="D19" s="3"/>
      <x:c r="E19" s="3"/>
      <x:c r="F19" s="3"/>
      <x:c r="G19" s="3"/>
      <x:c r="H19" s="3"/>
      <x:c r="I19" s="3"/>
      <x:c r="J19" s="3"/>
      <x:c r="K19" s="3"/>
      <x:c r="L19" s="3"/>
      <x:c r="M19" s="3"/>
      <x:c r="N19" s="3"/>
      <x:c r="O19" s="3"/>
      <x:c r="P19" s="3"/>
      <x:c r="Q19" s="3"/>
      <x:c r="R19" s="3"/>
    </x:row>
    <x:row r="20" ht="20" customHeight="1">
      <x:c r="A20" s="3"/>
      <x:c r="B20" s="3"/>
      <x:c r="C20" s="3"/>
      <x:c r="D20" s="3"/>
      <x:c r="E20" s="3"/>
      <x:c r="F20" s="3"/>
      <x:c r="G20" s="3"/>
      <x:c r="H20" s="3"/>
      <x:c r="I20" s="3"/>
      <x:c r="J20" s="3"/>
      <x:c r="K20" s="3"/>
      <x:c r="L20" s="3"/>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3"/>
      <x:c r="B22" s="3"/>
      <x:c r="C22" s="3"/>
      <x:c r="D22" s="3"/>
      <x:c r="E22" s="3"/>
      <x:c r="F22" s="3"/>
      <x:c r="G22" s="3"/>
      <x:c r="H22" s="3"/>
      <x:c r="I22" s="3"/>
      <x:c r="J22" s="3"/>
      <x:c r="K22" s="3"/>
      <x:c r="L22" s="3"/>
      <x:c r="M22" s="3"/>
      <x:c r="N22" s="3"/>
      <x:c r="O22" s="3"/>
      <x:c r="P22" s="3"/>
      <x:c r="Q22" s="3"/>
      <x:c r="R22" s="3"/>
    </x:row>
    <x:row r="23" ht="20" customHeight="1">
      <x:c r="A23" s="3"/>
      <x:c r="B23" s="3"/>
      <x:c r="C23" s="3"/>
      <x:c r="D23" s="3"/>
      <x:c r="E23" s="3"/>
      <x:c r="F23" s="3"/>
      <x:c r="G23" s="3"/>
      <x:c r="H23" s="3"/>
      <x:c r="I23" s="3"/>
      <x:c r="J23" s="3"/>
      <x:c r="K23" s="3"/>
      <x:c r="L23" s="3"/>
      <x:c r="M23" s="3"/>
      <x:c r="N23" s="3"/>
      <x:c r="O23" s="3"/>
      <x:c r="P23" s="3"/>
      <x:c r="Q23" s="3"/>
      <x:c r="R23" s="3"/>
    </x:row>
    <x:row r="24" ht="20" customHeight="1">
      <x:c r="A24" s="3"/>
      <x:c r="B24" s="3"/>
      <x:c r="C24" s="3"/>
      <x:c r="D24" s="3"/>
      <x:c r="E24" s="3"/>
      <x:c r="F24" s="3"/>
      <x:c r="G24" s="3"/>
      <x:c r="H24" s="3"/>
      <x:c r="I24" s="3"/>
      <x:c r="J24" s="3"/>
      <x:c r="K24" s="3"/>
      <x:c r="L24" s="3"/>
      <x:c r="M24" s="3"/>
      <x:c r="N24" s="3"/>
      <x:c r="O24" s="3"/>
      <x:c r="P24" s="3"/>
      <x:c r="Q24" s="3"/>
      <x:c r="R24" s="3"/>
    </x:row>
    <x:row r="25" ht="20" customHeight="1">
      <x:c r="A25" s="3"/>
      <x:c r="B25" s="3"/>
      <x:c r="C25" s="3"/>
      <x:c r="D25" s="3"/>
      <x:c r="E25" s="3"/>
      <x:c r="F25" s="3"/>
      <x:c r="G25" s="3"/>
      <x:c r="H25" s="3"/>
      <x:c r="I25" s="3"/>
      <x:c r="J25" s="3"/>
      <x:c r="K25" s="3"/>
      <x:c r="L25" s="3"/>
      <x:c r="M25" s="3"/>
      <x:c r="N25" s="3"/>
      <x:c r="O25" s="3"/>
      <x:c r="P25" s="3"/>
      <x:c r="Q25" s="3"/>
      <x:c r="R25" s="3"/>
    </x:row>
    <x:row r="26" ht="20" customHeight="1">
      <x:c r="A26" s="3"/>
      <x:c r="B26" s="3"/>
      <x:c r="C26" s="3"/>
      <x:c r="D26" s="3"/>
      <x:c r="E26" s="3"/>
      <x:c r="F26" s="3"/>
      <x:c r="G26" s="3"/>
      <x:c r="H26" s="3"/>
      <x:c r="I26" s="3"/>
      <x:c r="J26" s="3"/>
      <x:c r="K26" s="3"/>
      <x:c r="L26" s="3"/>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3"/>
      <x:c r="B28" s="3"/>
      <x:c r="C28" s="3"/>
      <x:c r="D28" s="3"/>
      <x:c r="E28" s="3"/>
      <x:c r="F28" s="3"/>
      <x:c r="G28" s="3"/>
      <x:c r="H28" s="3"/>
      <x:c r="I28" s="3"/>
      <x:c r="J28" s="3"/>
      <x:c r="K28" s="3"/>
      <x:c r="L28" s="3"/>
      <x:c r="M28" s="3"/>
      <x:c r="N28" s="3"/>
      <x:c r="O28" s="3"/>
      <x:c r="P28" s="3"/>
      <x:c r="Q28" s="3"/>
      <x:c r="R28" s="3"/>
    </x:row>
    <x:row r="29" ht="20" customHeight="1">
      <x:c r="A29" s="3"/>
      <x:c r="B29" s="3"/>
      <x:c r="C29" s="3"/>
      <x:c r="D29" s="3"/>
      <x:c r="E29" s="3"/>
      <x:c r="F29" s="3"/>
      <x:c r="G29" s="3"/>
      <x:c r="H29" s="3"/>
      <x:c r="I29" s="3"/>
      <x:c r="J29" s="3"/>
      <x:c r="K29" s="3"/>
      <x:c r="L29" s="3"/>
      <x:c r="M29" s="3"/>
      <x:c r="N29" s="3"/>
      <x:c r="O29" s="3"/>
      <x:c r="P29" s="3"/>
      <x:c r="Q29" s="3"/>
      <x:c r="R29" s="3"/>
    </x:row>
    <x:row r="30" ht="20" customHeight="1">
      <x:c r="A30" s="3"/>
      <x:c r="B30" s="3"/>
      <x:c r="C30" s="3"/>
      <x:c r="D30" s="3"/>
      <x:c r="E30" s="3"/>
      <x:c r="F30" s="3"/>
      <x:c r="G30" s="3"/>
      <x:c r="H30" s="3"/>
      <x:c r="I30" s="3"/>
      <x:c r="J30" s="3"/>
      <x:c r="K30" s="3"/>
      <x:c r="L30" s="3"/>
      <x:c r="M30" s="3"/>
      <x:c r="N30" s="3"/>
      <x:c r="O30" s="3"/>
      <x:c r="P30" s="3"/>
      <x:c r="Q30" s="3"/>
      <x:c r="R30" s="3"/>
    </x:row>
    <x:row r="31" ht="20" customHeight="1">
      <x:c r="A31" s="3"/>
      <x:c r="B31" s="3"/>
      <x:c r="C31" s="3"/>
      <x:c r="D31" s="3"/>
      <x:c r="E31" s="3"/>
      <x:c r="F31" s="3"/>
      <x:c r="G31" s="3"/>
      <x:c r="H31" s="3"/>
      <x:c r="I31" s="3"/>
      <x:c r="J31" s="3"/>
      <x:c r="K31" s="3"/>
      <x:c r="L31" s="3"/>
      <x:c r="M31" s="3"/>
      <x:c r="N31" s="3"/>
      <x:c r="O31" s="3"/>
      <x:c r="P31" s="3"/>
      <x:c r="Q31" s="3"/>
      <x:c r="R31" s="3"/>
    </x:row>
    <x:row r="32" ht="20" customHeight="1">
      <x:c r="A32" s="3"/>
      <x:c r="B32" s="3"/>
      <x:c r="C32" s="3"/>
      <x:c r="D32" s="3"/>
      <x:c r="E32" s="3"/>
      <x:c r="F32" s="3"/>
      <x:c r="G32" s="3"/>
      <x:c r="H32" s="3"/>
      <x:c r="I32" s="3"/>
      <x:c r="J32" s="3"/>
      <x:c r="K32" s="3"/>
      <x:c r="L32" s="3"/>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3"/>
      <x:c r="B34" s="3"/>
      <x:c r="C34" s="3"/>
      <x:c r="D34" s="3"/>
      <x:c r="E34" s="3"/>
      <x:c r="F34" s="3"/>
      <x:c r="G34" s="3"/>
      <x:c r="H34" s="3"/>
      <x:c r="I34" s="3"/>
      <x:c r="J34" s="3"/>
      <x:c r="K34" s="3"/>
      <x:c r="L34" s="3"/>
      <x:c r="M34" s="3"/>
      <x:c r="N34" s="3"/>
      <x:c r="O34" s="3"/>
      <x:c r="P34" s="3"/>
      <x:c r="Q34" s="3"/>
      <x:c r="R34" s="3"/>
    </x:row>
    <x:row r="35" ht="20" customHeight="1">
      <x:c r="A35" s="3"/>
      <x:c r="B35" s="3"/>
      <x:c r="C35" s="3"/>
      <x:c r="D35" s="3"/>
      <x:c r="E35" s="3"/>
      <x:c r="F35" s="3"/>
      <x:c r="G35" s="3"/>
      <x:c r="H35" s="3"/>
      <x:c r="I35" s="3"/>
      <x:c r="J35" s="3"/>
      <x:c r="K35" s="3"/>
      <x:c r="L35" s="3"/>
      <x:c r="M35" s="3"/>
      <x:c r="N35" s="3"/>
      <x:c r="O35" s="3"/>
      <x:c r="P35" s="3"/>
      <x:c r="Q35" s="3"/>
      <x:c r="R35" s="3"/>
    </x:row>
    <x:row r="36" ht="20" customHeight="1">
      <x:c r="A36" s="3"/>
      <x:c r="B36" s="3"/>
      <x:c r="C36" s="3"/>
      <x:c r="D36" s="3"/>
      <x:c r="E36" s="3"/>
      <x:c r="F36" s="3"/>
      <x:c r="G36" s="3"/>
      <x:c r="H36" s="3"/>
      <x:c r="I36" s="3"/>
      <x:c r="J36" s="3"/>
      <x:c r="K36" s="3"/>
      <x:c r="L36" s="3"/>
      <x:c r="M36" s="3"/>
      <x:c r="N36" s="3"/>
      <x:c r="O36" s="3"/>
      <x:c r="P36" s="3"/>
      <x:c r="Q36" s="3"/>
      <x:c r="R36" s="3"/>
    </x:row>
    <x:row r="37" ht="20" customHeight="1">
      <x:c r="A37" s="3"/>
      <x:c r="B37" s="3"/>
      <x:c r="C37" s="3"/>
      <x:c r="D37" s="3"/>
      <x:c r="E37" s="3"/>
      <x:c r="F37" s="3"/>
      <x:c r="G37" s="3"/>
      <x:c r="H37" s="3"/>
      <x:c r="I37" s="3"/>
      <x:c r="J37" s="3"/>
      <x:c r="K37" s="3"/>
      <x:c r="L37" s="3"/>
      <x:c r="M37" s="3"/>
      <x:c r="N37" s="3"/>
      <x:c r="O37" s="3"/>
      <x:c r="P37" s="3"/>
      <x:c r="Q37" s="3"/>
      <x:c r="R37" s="3"/>
    </x:row>
    <x:row r="38" ht="20" customHeight="1">
      <x:c r="A38" s="3"/>
      <x:c r="B38" s="3"/>
      <x:c r="C38" s="3"/>
      <x:c r="D38" s="3"/>
      <x:c r="E38" s="3"/>
      <x:c r="F38" s="3"/>
      <x:c r="G38" s="3"/>
      <x:c r="H38" s="3"/>
      <x:c r="I38" s="3"/>
      <x:c r="J38" s="3"/>
      <x:c r="K38" s="3"/>
      <x:c r="L38" s="3"/>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20" customHeight="1">
      <x:c r="A42" s="3"/>
      <x:c r="B42" s="3"/>
      <x:c r="C42" s="3"/>
      <x:c r="D42" s="3"/>
      <x:c r="E42" s="3"/>
      <x:c r="F42" s="3"/>
      <x:c r="G42" s="3"/>
      <x:c r="H42" s="3"/>
      <x:c r="I42" s="3"/>
      <x:c r="J42" s="3"/>
      <x:c r="K42" s="3"/>
      <x:c r="L42" s="3"/>
      <x:c r="M42" s="3"/>
      <x:c r="N42" s="3"/>
      <x:c r="O42" s="3"/>
      <x:c r="P42" s="3"/>
      <x:c r="Q42" s="3"/>
      <x:c r="R42" s="3"/>
    </x:row>
    <x:row r="43" ht="20" customHeight="1">
      <x:c r="A43" s="3"/>
      <x:c r="B43" s="3"/>
      <x:c r="C43" s="3"/>
      <x:c r="D43" s="3"/>
      <x:c r="E43" s="3"/>
      <x:c r="F43" s="3"/>
      <x:c r="G43" s="3"/>
      <x:c r="H43" s="3"/>
      <x:c r="I43" s="3"/>
      <x:c r="J43" s="3"/>
      <x:c r="K43" s="3"/>
      <x:c r="L43" s="3"/>
      <x:c r="M43" s="3"/>
      <x:c r="N43" s="3"/>
      <x:c r="O43" s="3"/>
      <x:c r="P43" s="3"/>
      <x:c r="Q43" s="3"/>
      <x:c r="R43" s="3"/>
    </x:row>
    <x:row r="44" ht="20" customHeight="1">
      <x:c r="A44" s="3"/>
      <x:c r="B44" s="3"/>
      <x:c r="C44" s="3"/>
      <x:c r="D44" s="3"/>
      <x:c r="E44" s="3"/>
      <x:c r="F44" s="3"/>
      <x:c r="G44" s="3"/>
      <x:c r="H44" s="3"/>
      <x:c r="I44" s="3"/>
      <x:c r="J44" s="3"/>
      <x:c r="K44" s="3"/>
      <x:c r="L44" s="3"/>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3"/>
      <x:c r="B47" s="3"/>
      <x:c r="C47" s="3"/>
      <x:c r="D47" s="3"/>
      <x:c r="E47" s="3"/>
      <x:c r="F47" s="3"/>
      <x:c r="G47" s="3"/>
      <x:c r="H47" s="3"/>
      <x:c r="I47" s="3"/>
      <x:c r="J47" s="3"/>
      <x:c r="K47" s="3"/>
      <x:c r="L47" s="3"/>
      <x:c r="M47" s="3"/>
      <x:c r="N47" s="3"/>
      <x:c r="O47" s="3"/>
      <x:c r="P47" s="3"/>
      <x:c r="Q47" s="3"/>
      <x:c r="R47" s="3"/>
    </x:row>
    <x:row r="48" ht="20" customHeight="1">
      <x:c r="A48" s="3"/>
      <x:c r="B48" s="3"/>
      <x:c r="C48" s="3"/>
      <x:c r="D48" s="3"/>
      <x:c r="E48" s="3"/>
      <x:c r="F48" s="3"/>
      <x:c r="G48" s="3"/>
      <x:c r="H48" s="3"/>
      <x:c r="I48" s="3"/>
      <x:c r="J48" s="3"/>
      <x:c r="K48" s="3"/>
      <x:c r="L48" s="3"/>
      <x:c r="M48" s="3"/>
      <x:c r="N48" s="3"/>
      <x:c r="O48" s="3"/>
      <x:c r="P48" s="3"/>
      <x:c r="Q48" s="3"/>
      <x:c r="R48" s="3"/>
    </x:row>
    <x:row r="49" ht="20" customHeight="1">
      <x:c r="A49" s="3"/>
      <x:c r="B49" s="3"/>
      <x:c r="C49" s="3"/>
      <x:c r="D49" s="3"/>
      <x:c r="E49" s="3"/>
      <x:c r="F49" s="3"/>
      <x:c r="G49" s="3"/>
      <x:c r="H49" s="3"/>
      <x:c r="I49" s="3"/>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L03</x:v>
      </x:c>
      <x:c r="B110" s="34"/>
      <x:c r="C110" s="34"/>
      <x:c r="D110" s="34"/>
      <x:c r="E110" s="34"/>
      <x:c r="F110" s="34"/>
      <x:c r="G110" s="34"/>
      <x:c r="H110" s="34"/>
      <x:c r="I110" s="34"/>
      <x:c r="J110" s="34"/>
      <x:c r="K110" s="34"/>
      <x:c r="L110" s="34"/>
      <x:c r="M110" s="3"/>
      <x:c r="N110" s="3"/>
      <x:c r="O110" s="3"/>
      <x:c r="P110" s="3"/>
      <x:c r="Q110" s="3"/>
      <x:c r="R110" s="3"/>
    </x:row>
    <x:row r="111" ht="20" customHeight="1">
      <x:c r="A111" s="40" t="str">
        <x:v>01  Item and boundary</x:v>
      </x:c>
      <x:c r="B111" s="40"/>
      <x:c r="C111" s="40"/>
      <x:c r="D111" s="17" t="str">
        <x:v>Define the replenished resource.</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Demand and lead time</x:v>
      </x:c>
      <x:c r="B117" s="40"/>
      <x:c r="C117" s="40"/>
      <x:c r="D117" s="17" t="str">
        <x:v>Record matching units and evidence.</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Container and buffer</x:v>
      </x:c>
      <x:c r="B123" s="40"/>
      <x:c r="C123" s="40"/>
      <x:c r="D123" s="17" t="str">
        <x:v>State explicit planning assumptions.</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Calculation</x:v>
      </x:c>
      <x:c r="B129" s="40"/>
      <x:c r="C129" s="40"/>
      <x:c r="D129" s="17" t="str">
        <x:v>Show the rounded container requirement.</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Signal and ownership</x:v>
      </x:c>
      <x:c r="B135" s="40"/>
      <x:c r="C135" s="40"/>
      <x:c r="D135" s="17" t="str">
        <x:v>Explain how replenishment operates.</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Trial and review</x:v>
      </x:c>
      <x:c r="B141" s="40"/>
      <x:c r="C141" s="40"/>
      <x:c r="D141" s="17" t="str">
        <x:v>Monitor shortage and excess.</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This calculator is not an inventory optimisation model. It excludes detailed demand distributions, expiry, minimum-order and service-level optimisation. Do not apply it mechanically to sensitive supplies or use its result as a service queue limit.</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L02, L04, A05  |  METHOD SOURCES: U03, R22</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s>
  <x:pageMargins left="0.7" right="0.7" top="0.75" bottom="0.75" header="0.3" footer="0.3"/>
</x:worksheet>
</file>

<file path=xl/worksheets/sheet78.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L04  Workload levelling and release pattern</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Reduce avoidable peaks in release while respecting genuine demand and urgency.</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L04</x:v>
      </x:c>
      <x:c r="B9" s="34"/>
      <x:c r="C9" s="34"/>
      <x:c r="D9" s="34"/>
      <x:c r="E9" s="34"/>
      <x:c r="F9" s="34"/>
      <x:c r="G9" s="34"/>
      <x:c r="H9" s="34"/>
      <x:c r="I9" s="34"/>
      <x:c r="J9" s="34"/>
      <x:c r="K9" s="34"/>
      <x:c r="L9" s="34"/>
      <x:c r="M9" s="3"/>
      <x:c r="N9" s="3"/>
      <x:c r="O9" s="3"/>
      <x:c r="P9" s="3"/>
      <x:c r="Q9" s="3"/>
      <x:c r="R9" s="3"/>
    </x:row>
    <x:row r="10" ht="20" customHeight="1">
      <x:c r="A10" s="40" t="str">
        <x:v>01  Demand and release</x:v>
      </x:c>
      <x:c r="B10" s="40"/>
      <x:c r="C10" s="40"/>
      <x:c r="D10" s="17" t="str">
        <x:v>Separate arrivals from internal scheduling.</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Work mix</x:v>
      </x:c>
      <x:c r="B16" s="40"/>
      <x:c r="C16" s="40"/>
      <x:c r="D16" s="17" t="str">
        <x:v>Identify meaningful differences.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Proposed pattern</x:v>
      </x:c>
      <x:c r="B22" s="40"/>
      <x:c r="C22" s="40"/>
      <x:c r="D22" s="17" t="str">
        <x:v>Define the local release rhythm.</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Exceptions and capacity</x:v>
      </x:c>
      <x:c r="B28" s="40"/>
      <x:c r="C28" s="40"/>
      <x:c r="D28" s="17" t="str">
        <x:v>Protect urgent work and resilience.</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Measures</x:v>
      </x:c>
      <x:c r="B34" s="40"/>
      <x:c r="C34" s="40"/>
      <x:c r="D34" s="17" t="str">
        <x:v>Review the whole system.</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Review and standard</x:v>
      </x:c>
      <x:c r="B40" s="40"/>
      <x:c r="C40" s="40"/>
      <x:c r="D40" s="17" t="str">
        <x:v>Adapt the pattern with evidence.</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Levelling is not a licence to postpone necessary service. Do not use a smooth release chart to conceal growing upstream queues. Monitor total boundary lead time and aged work.</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L01, L05, F06  |  METHOD SOURCES: U02, U03, R23, R24</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79.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L05  FIFO, ageing and exception rules</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Make sequencing fair, visible and appropriate to service risk.</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L05</x:v>
      </x:c>
      <x:c r="B9" s="34"/>
      <x:c r="C9" s="34"/>
      <x:c r="D9" s="34"/>
      <x:c r="E9" s="34"/>
      <x:c r="F9" s="34"/>
      <x:c r="G9" s="34"/>
      <x:c r="H9" s="34"/>
      <x:c r="I9" s="34"/>
      <x:c r="J9" s="34"/>
      <x:c r="K9" s="34"/>
      <x:c r="L9" s="34"/>
      <x:c r="M9" s="3"/>
      <x:c r="N9" s="3"/>
      <x:c r="O9" s="3"/>
      <x:c r="P9" s="3"/>
      <x:c r="Q9" s="3"/>
      <x:c r="R9" s="3"/>
    </x:row>
    <x:row r="10" ht="20" customHeight="1">
      <x:c r="A10" s="40" t="str">
        <x:v>01  Boundary and ordering</x:v>
      </x:c>
      <x:c r="B10" s="40"/>
      <x:c r="C10" s="40"/>
      <x:c r="D10" s="17" t="str">
        <x:v>Define the default sequence.</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Ready and blocked work</x:v>
      </x:c>
      <x:c r="B16" s="40"/>
      <x:c r="C16" s="40"/>
      <x:c r="D16" s="17" t="str">
        <x:v>Explain how incomplete cases remain visible.</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Exception criteria</x:v>
      </x:c>
      <x:c r="B22" s="40"/>
      <x:c r="C22" s="40"/>
      <x:c r="D22" s="17" t="str">
        <x:v>Define legitimate departures.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Authority and record</x:v>
      </x:c>
      <x:c r="B28" s="40"/>
      <x:c r="C28" s="40"/>
      <x:c r="D28" s="17" t="str">
        <x:v>State who approves a sequence change.</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Age and fairness review</x:v>
      </x:c>
      <x:c r="B34" s="40"/>
      <x:c r="C34" s="40"/>
      <x:c r="D34" s="17" t="str">
        <x:v>Monitor distribution, not just average.</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Learning and revision</x:v>
      </x:c>
      <x:c r="B40" s="40"/>
      <x:c r="C40" s="40"/>
      <x:c r="D40" s="17" t="str">
        <x:v>Update the policy deliberately.</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FIFO is a default for comparable work, not a substitute for risk-based prioritisation where required. Do not reset receipt dates or remove blocked cases to improve reported timeliness.</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L02, L06, S09  |  METHOD SOURCES: R30, U02</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80.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8" hidden="0" customWidth="1"/>
    <x:col min="2" max="2" width="21" hidden="0" customWidth="1"/>
    <x:col min="3" max="3" width="18" hidden="0" customWidth="1"/>
    <x:col min="4" max="4" width="14" hidden="0" customWidth="1"/>
    <x:col min="5" max="5" width="25" hidden="0" customWidth="1"/>
    <x:col min="6" max="6" width="38" hidden="0" customWidth="1"/>
    <x:col min="7" max="7" width="38" hidden="0" customWidth="1"/>
    <x:col min="8" max="8" width="46"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L06  Daily performance board and response routine</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Connect visible measures with a short conversation and practical action.</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Date</x:v>
      </x:c>
      <x:c r="B9" s="77" t="str">
        <x:v>Demand / arrivals</x:v>
      </x:c>
      <x:c r="C9" s="77" t="str">
        <x:v>Completions</x:v>
      </x:c>
      <x:c r="D9" s="77" t="str">
        <x:v>WIP</x:v>
      </x:c>
      <x:c r="E9" s="77" t="str">
        <x:v>Oldest age / unit</x:v>
      </x:c>
      <x:c r="F9" s="77" t="str">
        <x:v>Quality concern</x:v>
      </x:c>
      <x:c r="G9" s="77" t="str">
        <x:v>People / access</x:v>
      </x:c>
      <x:c r="H9" s="77" t="str">
        <x:v>Action / owner</x:v>
      </x:c>
      <x:c r="I9" s="3"/>
      <x:c r="J9" s="3"/>
      <x:c r="K9" s="3"/>
      <x:c r="L9" s="3"/>
      <x:c r="M9" s="3"/>
      <x:c r="N9" s="3"/>
      <x:c r="O9" s="3"/>
      <x:c r="P9" s="3"/>
      <x:c r="Q9" s="3"/>
      <x:c r="R9" s="3"/>
    </x:row>
    <x:row r="10" ht="34" customHeight="1">
      <x:c r="A10" s="88"/>
      <x:c r="B10" s="46"/>
      <x:c r="C10" s="46"/>
      <x:c r="D10" s="46"/>
      <x:c r="E10" s="46"/>
      <x:c r="F10" s="46"/>
      <x:c r="G10" s="46"/>
      <x:c r="H10" s="46"/>
      <x:c r="I10" s="3"/>
      <x:c r="J10" s="3"/>
      <x:c r="K10" s="3"/>
      <x:c r="L10" s="3"/>
      <x:c r="M10" s="3"/>
      <x:c r="N10" s="3"/>
      <x:c r="O10" s="3"/>
      <x:c r="P10" s="3"/>
      <x:c r="Q10" s="3"/>
      <x:c r="R10" s="3"/>
    </x:row>
    <x:row r="11" ht="34" customHeight="1">
      <x:c r="A11" s="88"/>
      <x:c r="B11" s="46"/>
      <x:c r="C11" s="46"/>
      <x:c r="D11" s="46"/>
      <x:c r="E11" s="46"/>
      <x:c r="F11" s="46"/>
      <x:c r="G11" s="46"/>
      <x:c r="H11" s="46"/>
      <x:c r="I11" s="3"/>
      <x:c r="J11" s="3"/>
      <x:c r="K11" s="3"/>
      <x:c r="L11" s="3"/>
      <x:c r="M11" s="3"/>
      <x:c r="N11" s="3"/>
      <x:c r="O11" s="3"/>
      <x:c r="P11" s="3"/>
      <x:c r="Q11" s="3"/>
      <x:c r="R11" s="3"/>
    </x:row>
    <x:row r="12" ht="34" customHeight="1">
      <x:c r="A12" s="88"/>
      <x:c r="B12" s="46"/>
      <x:c r="C12" s="46"/>
      <x:c r="D12" s="46"/>
      <x:c r="E12" s="46"/>
      <x:c r="F12" s="46"/>
      <x:c r="G12" s="46"/>
      <x:c r="H12" s="46"/>
      <x:c r="I12" s="3"/>
      <x:c r="J12" s="3"/>
      <x:c r="K12" s="3"/>
      <x:c r="L12" s="3"/>
      <x:c r="M12" s="3"/>
      <x:c r="N12" s="3"/>
      <x:c r="O12" s="3"/>
      <x:c r="P12" s="3"/>
      <x:c r="Q12" s="3"/>
      <x:c r="R12" s="3"/>
    </x:row>
    <x:row r="13" ht="34" customHeight="1">
      <x:c r="A13" s="88"/>
      <x:c r="B13" s="46"/>
      <x:c r="C13" s="46"/>
      <x:c r="D13" s="46"/>
      <x:c r="E13" s="46"/>
      <x:c r="F13" s="46"/>
      <x:c r="G13" s="46"/>
      <x:c r="H13" s="46"/>
      <x:c r="I13" s="3"/>
      <x:c r="J13" s="3"/>
      <x:c r="K13" s="3"/>
      <x:c r="L13" s="3"/>
      <x:c r="M13" s="3"/>
      <x:c r="N13" s="3"/>
      <x:c r="O13" s="3"/>
      <x:c r="P13" s="3"/>
      <x:c r="Q13" s="3"/>
      <x:c r="R13" s="3"/>
    </x:row>
    <x:row r="14" ht="34" customHeight="1">
      <x:c r="A14" s="88"/>
      <x:c r="B14" s="46"/>
      <x:c r="C14" s="46"/>
      <x:c r="D14" s="46"/>
      <x:c r="E14" s="46"/>
      <x:c r="F14" s="46"/>
      <x:c r="G14" s="46"/>
      <x:c r="H14" s="46"/>
      <x:c r="I14" s="3"/>
      <x:c r="J14" s="3"/>
      <x:c r="K14" s="3"/>
      <x:c r="L14" s="3"/>
      <x:c r="M14" s="3"/>
      <x:c r="N14" s="3"/>
      <x:c r="O14" s="3"/>
      <x:c r="P14" s="3"/>
      <x:c r="Q14" s="3"/>
      <x:c r="R14" s="3"/>
    </x:row>
    <x:row r="15" ht="34" customHeight="1">
      <x:c r="A15" s="88"/>
      <x:c r="B15" s="46"/>
      <x:c r="C15" s="46"/>
      <x:c r="D15" s="46"/>
      <x:c r="E15" s="46"/>
      <x:c r="F15" s="46"/>
      <x:c r="G15" s="46"/>
      <x:c r="H15" s="46"/>
      <x:c r="I15" s="3"/>
      <x:c r="J15" s="3"/>
      <x:c r="K15" s="3"/>
      <x:c r="L15" s="3"/>
      <x:c r="M15" s="3"/>
      <x:c r="N15" s="3"/>
      <x:c r="O15" s="3"/>
      <x:c r="P15" s="3"/>
      <x:c r="Q15" s="3"/>
      <x:c r="R15" s="3"/>
    </x:row>
    <x:row r="16" ht="34" customHeight="1">
      <x:c r="A16" s="88"/>
      <x:c r="B16" s="46"/>
      <x:c r="C16" s="46"/>
      <x:c r="D16" s="46"/>
      <x:c r="E16" s="46"/>
      <x:c r="F16" s="46"/>
      <x:c r="G16" s="46"/>
      <x:c r="H16" s="46"/>
      <x:c r="I16" s="3"/>
      <x:c r="J16" s="3"/>
      <x:c r="K16" s="3"/>
      <x:c r="L16" s="3"/>
      <x:c r="M16" s="3"/>
      <x:c r="N16" s="3"/>
      <x:c r="O16" s="3"/>
      <x:c r="P16" s="3"/>
      <x:c r="Q16" s="3"/>
      <x:c r="R16" s="3"/>
    </x:row>
    <x:row r="17" ht="34" customHeight="1">
      <x:c r="A17" s="88"/>
      <x:c r="B17" s="46"/>
      <x:c r="C17" s="46"/>
      <x:c r="D17" s="46"/>
      <x:c r="E17" s="46"/>
      <x:c r="F17" s="46"/>
      <x:c r="G17" s="46"/>
      <x:c r="H17" s="46"/>
      <x:c r="I17" s="3"/>
      <x:c r="J17" s="3"/>
      <x:c r="K17" s="3"/>
      <x:c r="L17" s="3"/>
      <x:c r="M17" s="3"/>
      <x:c r="N17" s="3"/>
      <x:c r="O17" s="3"/>
      <x:c r="P17" s="3"/>
      <x:c r="Q17" s="3"/>
      <x:c r="R17" s="3"/>
    </x:row>
    <x:row r="18" ht="34" customHeight="1">
      <x:c r="A18" s="88"/>
      <x:c r="B18" s="46"/>
      <x:c r="C18" s="46"/>
      <x:c r="D18" s="46"/>
      <x:c r="E18" s="46"/>
      <x:c r="F18" s="46"/>
      <x:c r="G18" s="46"/>
      <x:c r="H18" s="46"/>
      <x:c r="I18" s="3"/>
      <x:c r="J18" s="3"/>
      <x:c r="K18" s="3"/>
      <x:c r="L18" s="3"/>
      <x:c r="M18" s="3"/>
      <x:c r="N18" s="3"/>
      <x:c r="O18" s="3"/>
      <x:c r="P18" s="3"/>
      <x:c r="Q18" s="3"/>
      <x:c r="R18" s="3"/>
    </x:row>
    <x:row r="19" ht="34" customHeight="1">
      <x:c r="A19" s="88"/>
      <x:c r="B19" s="46"/>
      <x:c r="C19" s="46"/>
      <x:c r="D19" s="46"/>
      <x:c r="E19" s="46"/>
      <x:c r="F19" s="46"/>
      <x:c r="G19" s="46"/>
      <x:c r="H19" s="46"/>
      <x:c r="I19" s="3"/>
      <x:c r="J19" s="3"/>
      <x:c r="K19" s="3"/>
      <x:c r="L19" s="3"/>
      <x:c r="M19" s="3"/>
      <x:c r="N19" s="3"/>
      <x:c r="O19" s="3"/>
      <x:c r="P19" s="3"/>
      <x:c r="Q19" s="3"/>
      <x:c r="R19" s="3"/>
    </x:row>
    <x:row r="20" ht="34" customHeight="1">
      <x:c r="A20" s="88"/>
      <x:c r="B20" s="46"/>
      <x:c r="C20" s="46"/>
      <x:c r="D20" s="46"/>
      <x:c r="E20" s="46"/>
      <x:c r="F20" s="46"/>
      <x:c r="G20" s="46"/>
      <x:c r="H20" s="46"/>
      <x:c r="I20" s="3"/>
      <x:c r="J20" s="3"/>
      <x:c r="K20" s="3"/>
      <x:c r="L20" s="3"/>
      <x:c r="M20" s="3"/>
      <x:c r="N20" s="3"/>
      <x:c r="O20" s="3"/>
      <x:c r="P20" s="3"/>
      <x:c r="Q20" s="3"/>
      <x:c r="R20" s="3"/>
    </x:row>
    <x:row r="21" ht="34" customHeight="1">
      <x:c r="A21" s="88"/>
      <x:c r="B21" s="46"/>
      <x:c r="C21" s="46"/>
      <x:c r="D21" s="46"/>
      <x:c r="E21" s="46"/>
      <x:c r="F21" s="46"/>
      <x:c r="G21" s="46"/>
      <x:c r="H21" s="46"/>
      <x:c r="I21" s="3"/>
      <x:c r="J21" s="3"/>
      <x:c r="K21" s="3"/>
      <x:c r="L21" s="3"/>
      <x:c r="M21" s="3"/>
      <x:c r="N21" s="3"/>
      <x:c r="O21" s="3"/>
      <x:c r="P21" s="3"/>
      <x:c r="Q21" s="3"/>
      <x:c r="R21" s="3"/>
    </x:row>
    <x:row r="22" ht="34" customHeight="1">
      <x:c r="A22" s="88"/>
      <x:c r="B22" s="46"/>
      <x:c r="C22" s="46"/>
      <x:c r="D22" s="46"/>
      <x:c r="E22" s="46"/>
      <x:c r="F22" s="46"/>
      <x:c r="G22" s="46"/>
      <x:c r="H22" s="46"/>
      <x:c r="I22" s="3"/>
      <x:c r="J22" s="3"/>
      <x:c r="K22" s="3"/>
      <x:c r="L22" s="3"/>
      <x:c r="M22" s="3"/>
      <x:c r="N22" s="3"/>
      <x:c r="O22" s="3"/>
      <x:c r="P22" s="3"/>
      <x:c r="Q22" s="3"/>
      <x:c r="R22" s="3"/>
    </x:row>
    <x:row r="23" ht="34" customHeight="1">
      <x:c r="A23" s="88"/>
      <x:c r="B23" s="46"/>
      <x:c r="C23" s="46"/>
      <x:c r="D23" s="46"/>
      <x:c r="E23" s="46"/>
      <x:c r="F23" s="46"/>
      <x:c r="G23" s="46"/>
      <x:c r="H23" s="46"/>
      <x:c r="I23" s="3"/>
      <x:c r="J23" s="3"/>
      <x:c r="K23" s="3"/>
      <x:c r="L23" s="3"/>
      <x:c r="M23" s="3"/>
      <x:c r="N23" s="3"/>
      <x:c r="O23" s="3"/>
      <x:c r="P23" s="3"/>
      <x:c r="Q23" s="3"/>
      <x:c r="R23" s="3"/>
    </x:row>
    <x:row r="24" ht="34" customHeight="1">
      <x:c r="A24" s="88"/>
      <x:c r="B24" s="46"/>
      <x:c r="C24" s="46"/>
      <x:c r="D24" s="46"/>
      <x:c r="E24" s="46"/>
      <x:c r="F24" s="46"/>
      <x:c r="G24" s="46"/>
      <x:c r="H24" s="46"/>
      <x:c r="I24" s="3"/>
      <x:c r="J24" s="3"/>
      <x:c r="K24" s="3"/>
      <x:c r="L24" s="3"/>
      <x:c r="M24" s="3"/>
      <x:c r="N24" s="3"/>
      <x:c r="O24" s="3"/>
      <x:c r="P24" s="3"/>
      <x:c r="Q24" s="3"/>
      <x:c r="R24" s="3"/>
    </x:row>
    <x:row r="25" ht="34" customHeight="1">
      <x:c r="A25" s="88"/>
      <x:c r="B25" s="46"/>
      <x:c r="C25" s="46"/>
      <x:c r="D25" s="46"/>
      <x:c r="E25" s="46"/>
      <x:c r="F25" s="46"/>
      <x:c r="G25" s="46"/>
      <x:c r="H25" s="46"/>
      <x:c r="I25" s="3"/>
      <x:c r="J25" s="3"/>
      <x:c r="K25" s="3"/>
      <x:c r="L25" s="3"/>
      <x:c r="M25" s="3"/>
      <x:c r="N25" s="3"/>
      <x:c r="O25" s="3"/>
      <x:c r="P25" s="3"/>
      <x:c r="Q25" s="3"/>
      <x:c r="R25" s="3"/>
    </x:row>
    <x:row r="26" ht="34" customHeight="1">
      <x:c r="A26" s="88"/>
      <x:c r="B26" s="46"/>
      <x:c r="C26" s="46"/>
      <x:c r="D26" s="46"/>
      <x:c r="E26" s="46"/>
      <x:c r="F26" s="46"/>
      <x:c r="G26" s="46"/>
      <x:c r="H26" s="46"/>
      <x:c r="I26" s="3"/>
      <x:c r="J26" s="3"/>
      <x:c r="K26" s="3"/>
      <x:c r="L26" s="3"/>
      <x:c r="M26" s="3"/>
      <x:c r="N26" s="3"/>
      <x:c r="O26" s="3"/>
      <x:c r="P26" s="3"/>
      <x:c r="Q26" s="3"/>
      <x:c r="R26" s="3"/>
    </x:row>
    <x:row r="27" ht="34" customHeight="1">
      <x:c r="A27" s="88"/>
      <x:c r="B27" s="46"/>
      <x:c r="C27" s="46"/>
      <x:c r="D27" s="46"/>
      <x:c r="E27" s="46"/>
      <x:c r="F27" s="46"/>
      <x:c r="G27" s="46"/>
      <x:c r="H27" s="46"/>
      <x:c r="I27" s="3"/>
      <x:c r="J27" s="3"/>
      <x:c r="K27" s="3"/>
      <x:c r="L27" s="3"/>
      <x:c r="M27" s="3"/>
      <x:c r="N27" s="3"/>
      <x:c r="O27" s="3"/>
      <x:c r="P27" s="3"/>
      <x:c r="Q27" s="3"/>
      <x:c r="R27" s="3"/>
    </x:row>
    <x:row r="28" ht="34" customHeight="1">
      <x:c r="A28" s="88"/>
      <x:c r="B28" s="46"/>
      <x:c r="C28" s="46"/>
      <x:c r="D28" s="46"/>
      <x:c r="E28" s="46"/>
      <x:c r="F28" s="46"/>
      <x:c r="G28" s="46"/>
      <x:c r="H28" s="46"/>
      <x:c r="I28" s="3"/>
      <x:c r="J28" s="3"/>
      <x:c r="K28" s="3"/>
      <x:c r="L28" s="3"/>
      <x:c r="M28" s="3"/>
      <x:c r="N28" s="3"/>
      <x:c r="O28" s="3"/>
      <x:c r="P28" s="3"/>
      <x:c r="Q28" s="3"/>
      <x:c r="R28" s="3"/>
    </x:row>
    <x:row r="29" ht="34" customHeight="1">
      <x:c r="A29" s="88"/>
      <x:c r="B29" s="46"/>
      <x:c r="C29" s="46"/>
      <x:c r="D29" s="46"/>
      <x:c r="E29" s="46"/>
      <x:c r="F29" s="46"/>
      <x:c r="G29" s="46"/>
      <x:c r="H29" s="46"/>
      <x:c r="I29" s="3"/>
      <x:c r="J29" s="3"/>
      <x:c r="K29" s="3"/>
      <x:c r="L29" s="3"/>
      <x:c r="M29" s="3"/>
      <x:c r="N29" s="3"/>
      <x:c r="O29" s="3"/>
      <x:c r="P29" s="3"/>
      <x:c r="Q29" s="3"/>
      <x:c r="R29" s="3"/>
    </x:row>
    <x:row r="30" ht="34" customHeight="1">
      <x:c r="A30" s="88"/>
      <x:c r="B30" s="46"/>
      <x:c r="C30" s="46"/>
      <x:c r="D30" s="46"/>
      <x:c r="E30" s="46"/>
      <x:c r="F30" s="46"/>
      <x:c r="G30" s="46"/>
      <x:c r="H30" s="46"/>
      <x:c r="I30" s="3"/>
      <x:c r="J30" s="3"/>
      <x:c r="K30" s="3"/>
      <x:c r="L30" s="3"/>
      <x:c r="M30" s="3"/>
      <x:c r="N30" s="3"/>
      <x:c r="O30" s="3"/>
      <x:c r="P30" s="3"/>
      <x:c r="Q30" s="3"/>
      <x:c r="R30" s="3"/>
    </x:row>
    <x:row r="31" ht="34" customHeight="1">
      <x:c r="A31" s="88"/>
      <x:c r="B31" s="46"/>
      <x:c r="C31" s="46"/>
      <x:c r="D31" s="46"/>
      <x:c r="E31" s="46"/>
      <x:c r="F31" s="46"/>
      <x:c r="G31" s="46"/>
      <x:c r="H31" s="46"/>
      <x:c r="I31" s="3"/>
      <x:c r="J31" s="3"/>
      <x:c r="K31" s="3"/>
      <x:c r="L31" s="3"/>
      <x:c r="M31" s="3"/>
      <x:c r="N31" s="3"/>
      <x:c r="O31" s="3"/>
      <x:c r="P31" s="3"/>
      <x:c r="Q31" s="3"/>
      <x:c r="R31" s="3"/>
    </x:row>
    <x:row r="32" ht="34" customHeight="1">
      <x:c r="A32" s="88"/>
      <x:c r="B32" s="46"/>
      <x:c r="C32" s="46"/>
      <x:c r="D32" s="46"/>
      <x:c r="E32" s="46"/>
      <x:c r="F32" s="46"/>
      <x:c r="G32" s="46"/>
      <x:c r="H32" s="46"/>
      <x:c r="I32" s="3"/>
      <x:c r="J32" s="3"/>
      <x:c r="K32" s="3"/>
      <x:c r="L32" s="3"/>
      <x:c r="M32" s="3"/>
      <x:c r="N32" s="3"/>
      <x:c r="O32" s="3"/>
      <x:c r="P32" s="3"/>
      <x:c r="Q32" s="3"/>
      <x:c r="R32" s="3"/>
    </x:row>
    <x:row r="33" ht="34" customHeight="1">
      <x:c r="A33" s="88"/>
      <x:c r="B33" s="46"/>
      <x:c r="C33" s="46"/>
      <x:c r="D33" s="46"/>
      <x:c r="E33" s="46"/>
      <x:c r="F33" s="46"/>
      <x:c r="G33" s="46"/>
      <x:c r="H33" s="46"/>
      <x:c r="I33" s="3"/>
      <x:c r="J33" s="3"/>
      <x:c r="K33" s="3"/>
      <x:c r="L33" s="3"/>
      <x:c r="M33" s="3"/>
      <x:c r="N33" s="3"/>
      <x:c r="O33" s="3"/>
      <x:c r="P33" s="3"/>
      <x:c r="Q33" s="3"/>
      <x:c r="R33" s="3"/>
    </x:row>
    <x:row r="34" ht="34" customHeight="1">
      <x:c r="A34" s="88"/>
      <x:c r="B34" s="46"/>
      <x:c r="C34" s="46"/>
      <x:c r="D34" s="46"/>
      <x:c r="E34" s="46"/>
      <x:c r="F34" s="46"/>
      <x:c r="G34" s="46"/>
      <x:c r="H34" s="46"/>
      <x:c r="I34" s="3"/>
      <x:c r="J34" s="3"/>
      <x:c r="K34" s="3"/>
      <x:c r="L34" s="3"/>
      <x:c r="M34" s="3"/>
      <x:c r="N34" s="3"/>
      <x:c r="O34" s="3"/>
      <x:c r="P34" s="3"/>
      <x:c r="Q34" s="3"/>
      <x:c r="R34" s="3"/>
    </x:row>
    <x:row r="35" ht="34" customHeight="1">
      <x:c r="A35" s="88"/>
      <x:c r="B35" s="46"/>
      <x:c r="C35" s="46"/>
      <x:c r="D35" s="46"/>
      <x:c r="E35" s="46"/>
      <x:c r="F35" s="46"/>
      <x:c r="G35" s="46"/>
      <x:c r="H35" s="46"/>
      <x:c r="I35" s="3"/>
      <x:c r="J35" s="3"/>
      <x:c r="K35" s="3"/>
      <x:c r="L35" s="3"/>
      <x:c r="M35" s="3"/>
      <x:c r="N35" s="3"/>
      <x:c r="O35" s="3"/>
      <x:c r="P35" s="3"/>
      <x:c r="Q35" s="3"/>
      <x:c r="R35" s="3"/>
    </x:row>
    <x:row r="36" ht="34" customHeight="1">
      <x:c r="A36" s="88"/>
      <x:c r="B36" s="46"/>
      <x:c r="C36" s="46"/>
      <x:c r="D36" s="46"/>
      <x:c r="E36" s="46"/>
      <x:c r="F36" s="46"/>
      <x:c r="G36" s="46"/>
      <x:c r="H36" s="46"/>
      <x:c r="I36" s="3"/>
      <x:c r="J36" s="3"/>
      <x:c r="K36" s="3"/>
      <x:c r="L36" s="3"/>
      <x:c r="M36" s="3"/>
      <x:c r="N36" s="3"/>
      <x:c r="O36" s="3"/>
      <x:c r="P36" s="3"/>
      <x:c r="Q36" s="3"/>
      <x:c r="R36" s="3"/>
    </x:row>
    <x:row r="37" ht="34" customHeight="1">
      <x:c r="A37" s="88"/>
      <x:c r="B37" s="46"/>
      <x:c r="C37" s="46"/>
      <x:c r="D37" s="46"/>
      <x:c r="E37" s="46"/>
      <x:c r="F37" s="46"/>
      <x:c r="G37" s="46"/>
      <x:c r="H37" s="46"/>
      <x:c r="I37" s="3"/>
      <x:c r="J37" s="3"/>
      <x:c r="K37" s="3"/>
      <x:c r="L37" s="3"/>
      <x:c r="M37" s="3"/>
      <x:c r="N37" s="3"/>
      <x:c r="O37" s="3"/>
      <x:c r="P37" s="3"/>
      <x:c r="Q37" s="3"/>
      <x:c r="R37" s="3"/>
    </x:row>
    <x:row r="38" ht="34" customHeight="1">
      <x:c r="A38" s="88"/>
      <x:c r="B38" s="46"/>
      <x:c r="C38" s="46"/>
      <x:c r="D38" s="46"/>
      <x:c r="E38" s="46"/>
      <x:c r="F38" s="46"/>
      <x:c r="G38" s="46"/>
      <x:c r="H38" s="46"/>
      <x:c r="I38" s="3"/>
      <x:c r="J38" s="3"/>
      <x:c r="K38" s="3"/>
      <x:c r="L38" s="3"/>
      <x:c r="M38" s="3"/>
      <x:c r="N38" s="3"/>
      <x:c r="O38" s="3"/>
      <x:c r="P38" s="3"/>
      <x:c r="Q38" s="3"/>
      <x:c r="R38" s="3"/>
    </x:row>
    <x:row r="39" ht="34" customHeight="1">
      <x:c r="A39" s="88"/>
      <x:c r="B39" s="46"/>
      <x:c r="C39" s="46"/>
      <x:c r="D39" s="46"/>
      <x:c r="E39" s="46"/>
      <x:c r="F39" s="46"/>
      <x:c r="G39" s="46"/>
      <x:c r="H39" s="46"/>
      <x:c r="I39" s="3"/>
      <x:c r="J39" s="3"/>
      <x:c r="K39" s="3"/>
      <x:c r="L39" s="3"/>
      <x:c r="M39" s="3"/>
      <x:c r="N39" s="3"/>
      <x:c r="O39" s="3"/>
      <x:c r="P39" s="3"/>
      <x:c r="Q39" s="3"/>
      <x:c r="R39" s="3"/>
    </x:row>
    <x:row r="40" ht="34" customHeight="1">
      <x:c r="A40" s="88"/>
      <x:c r="B40" s="46"/>
      <x:c r="C40" s="46"/>
      <x:c r="D40" s="46"/>
      <x:c r="E40" s="46"/>
      <x:c r="F40" s="46"/>
      <x:c r="G40" s="46"/>
      <x:c r="H40" s="46"/>
      <x:c r="I40" s="3"/>
      <x:c r="J40" s="3"/>
      <x:c r="K40" s="3"/>
      <x:c r="L40" s="3"/>
      <x:c r="M40" s="3"/>
      <x:c r="N40" s="3"/>
      <x:c r="O40" s="3"/>
      <x:c r="P40" s="3"/>
      <x:c r="Q40" s="3"/>
      <x:c r="R40" s="3"/>
    </x:row>
    <x:row r="41" ht="34" customHeight="1">
      <x:c r="A41" s="88"/>
      <x:c r="B41" s="46"/>
      <x:c r="C41" s="46"/>
      <x:c r="D41" s="46"/>
      <x:c r="E41" s="46"/>
      <x:c r="F41" s="46"/>
      <x:c r="G41" s="46"/>
      <x:c r="H41" s="46"/>
      <x:c r="I41" s="3"/>
      <x:c r="J41" s="3"/>
      <x:c r="K41" s="3"/>
      <x:c r="L41" s="3"/>
      <x:c r="M41" s="3"/>
      <x:c r="N41" s="3"/>
      <x:c r="O41" s="3"/>
      <x:c r="P41" s="3"/>
      <x:c r="Q41" s="3"/>
      <x:c r="R41" s="3"/>
    </x:row>
    <x:row r="42" ht="34" customHeight="1">
      <x:c r="A42" s="88"/>
      <x:c r="B42" s="46"/>
      <x:c r="C42" s="46"/>
      <x:c r="D42" s="46"/>
      <x:c r="E42" s="46"/>
      <x:c r="F42" s="46"/>
      <x:c r="G42" s="46"/>
      <x:c r="H42" s="46"/>
      <x:c r="I42" s="3"/>
      <x:c r="J42" s="3"/>
      <x:c r="K42" s="3"/>
      <x:c r="L42" s="3"/>
      <x:c r="M42" s="3"/>
      <x:c r="N42" s="3"/>
      <x:c r="O42" s="3"/>
      <x:c r="P42" s="3"/>
      <x:c r="Q42" s="3"/>
      <x:c r="R42" s="3"/>
    </x:row>
    <x:row r="43" ht="34" customHeight="1">
      <x:c r="A43" s="88"/>
      <x:c r="B43" s="46"/>
      <x:c r="C43" s="46"/>
      <x:c r="D43" s="46"/>
      <x:c r="E43" s="46"/>
      <x:c r="F43" s="46"/>
      <x:c r="G43" s="46"/>
      <x:c r="H43" s="46"/>
      <x:c r="I43" s="3"/>
      <x:c r="J43" s="3"/>
      <x:c r="K43" s="3"/>
      <x:c r="L43" s="3"/>
      <x:c r="M43" s="3"/>
      <x:c r="N43" s="3"/>
      <x:c r="O43" s="3"/>
      <x:c r="P43" s="3"/>
      <x:c r="Q43" s="3"/>
      <x:c r="R43" s="3"/>
    </x:row>
    <x:row r="44" ht="34" customHeight="1">
      <x:c r="A44" s="88"/>
      <x:c r="B44" s="46"/>
      <x:c r="C44" s="46"/>
      <x:c r="D44" s="46"/>
      <x:c r="E44" s="46"/>
      <x:c r="F44" s="46"/>
      <x:c r="G44" s="46"/>
      <x:c r="H44" s="46"/>
      <x:c r="I44" s="3"/>
      <x:c r="J44" s="3"/>
      <x:c r="K44" s="3"/>
      <x:c r="L44" s="3"/>
      <x:c r="M44" s="3"/>
      <x:c r="N44" s="3"/>
      <x:c r="O44" s="3"/>
      <x:c r="P44" s="3"/>
      <x:c r="Q44" s="3"/>
      <x:c r="R44" s="3"/>
    </x:row>
    <x:row r="45" ht="34" customHeight="1">
      <x:c r="A45" s="88"/>
      <x:c r="B45" s="46"/>
      <x:c r="C45" s="46"/>
      <x:c r="D45" s="46"/>
      <x:c r="E45" s="46"/>
      <x:c r="F45" s="46"/>
      <x:c r="G45" s="46"/>
      <x:c r="H45" s="46"/>
      <x:c r="I45" s="3"/>
      <x:c r="J45" s="3"/>
      <x:c r="K45" s="3"/>
      <x:c r="L45" s="3"/>
      <x:c r="M45" s="3"/>
      <x:c r="N45" s="3"/>
      <x:c r="O45" s="3"/>
      <x:c r="P45" s="3"/>
      <x:c r="Q45" s="3"/>
      <x:c r="R45" s="3"/>
    </x:row>
    <x:row r="46" ht="34" customHeight="1">
      <x:c r="A46" s="88"/>
      <x:c r="B46" s="46"/>
      <x:c r="C46" s="46"/>
      <x:c r="D46" s="46"/>
      <x:c r="E46" s="46"/>
      <x:c r="F46" s="46"/>
      <x:c r="G46" s="46"/>
      <x:c r="H46" s="46"/>
      <x:c r="I46" s="3"/>
      <x:c r="J46" s="3"/>
      <x:c r="K46" s="3"/>
      <x:c r="L46" s="3"/>
      <x:c r="M46" s="3"/>
      <x:c r="N46" s="3"/>
      <x:c r="O46" s="3"/>
      <x:c r="P46" s="3"/>
      <x:c r="Q46" s="3"/>
      <x:c r="R46" s="3"/>
    </x:row>
    <x:row r="47" ht="34" customHeight="1">
      <x:c r="A47" s="88"/>
      <x:c r="B47" s="46"/>
      <x:c r="C47" s="46"/>
      <x:c r="D47" s="46"/>
      <x:c r="E47" s="46"/>
      <x:c r="F47" s="46"/>
      <x:c r="G47" s="46"/>
      <x:c r="H47" s="46"/>
      <x:c r="I47" s="3"/>
      <x:c r="J47" s="3"/>
      <x:c r="K47" s="3"/>
      <x:c r="L47" s="3"/>
      <x:c r="M47" s="3"/>
      <x:c r="N47" s="3"/>
      <x:c r="O47" s="3"/>
      <x:c r="P47" s="3"/>
      <x:c r="Q47" s="3"/>
      <x:c r="R47" s="3"/>
    </x:row>
    <x:row r="48" ht="34" customHeight="1">
      <x:c r="A48" s="88"/>
      <x:c r="B48" s="46"/>
      <x:c r="C48" s="46"/>
      <x:c r="D48" s="46"/>
      <x:c r="E48" s="46"/>
      <x:c r="F48" s="46"/>
      <x:c r="G48" s="46"/>
      <x:c r="H48" s="46"/>
      <x:c r="I48" s="3"/>
      <x:c r="J48" s="3"/>
      <x:c r="K48" s="3"/>
      <x:c r="L48" s="3"/>
      <x:c r="M48" s="3"/>
      <x:c r="N48" s="3"/>
      <x:c r="O48" s="3"/>
      <x:c r="P48" s="3"/>
      <x:c r="Q48" s="3"/>
      <x:c r="R48" s="3"/>
    </x:row>
    <x:row r="49" ht="34" customHeight="1">
      <x:c r="A49" s="88"/>
      <x:c r="B49" s="46"/>
      <x:c r="C49" s="46"/>
      <x:c r="D49" s="46"/>
      <x:c r="E49" s="46"/>
      <x:c r="F49" s="46"/>
      <x:c r="G49" s="46"/>
      <x:c r="H49" s="46"/>
      <x:c r="I49" s="3"/>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5" customHeight="1">
      <x:c r="A110" s="34" t="str">
        <x:v>WORKING RECORD  |  L06</x:v>
      </x:c>
      <x:c r="B110" s="34"/>
      <x:c r="C110" s="34"/>
      <x:c r="D110" s="34"/>
      <x:c r="E110" s="34"/>
      <x:c r="F110" s="34"/>
      <x:c r="G110" s="34"/>
      <x:c r="H110" s="34"/>
      <x:c r="I110" s="34"/>
      <x:c r="J110" s="34"/>
      <x:c r="K110" s="34"/>
      <x:c r="L110" s="34"/>
      <x:c r="M110" s="3"/>
      <x:c r="N110" s="3"/>
      <x:c r="O110" s="3"/>
      <x:c r="P110" s="3"/>
      <x:c r="Q110" s="3"/>
      <x:c r="R110" s="3"/>
    </x:row>
    <x:row r="111" ht="20" customHeight="1">
      <x:c r="A111" s="40" t="str">
        <x:v>01  Purpose and audience</x:v>
      </x:c>
      <x:c r="B111" s="40"/>
      <x:c r="C111" s="40"/>
      <x:c r="D111" s="17" t="str">
        <x:v>Define the operational conversation.</x:v>
      </x:c>
      <x:c r="E111" s="17"/>
      <x:c r="F111" s="17"/>
      <x:c r="G111" s="17"/>
      <x:c r="H111" s="17"/>
      <x:c r="I111" s="17"/>
      <x:c r="J111" s="17"/>
      <x:c r="K111" s="17"/>
      <x:c r="L111" s="17"/>
      <x:c r="M111" s="3"/>
      <x:c r="N111" s="3"/>
      <x:c r="O111" s="3"/>
      <x:c r="P111" s="3"/>
      <x:c r="Q111" s="3"/>
      <x:c r="R111" s="3"/>
    </x:row>
    <x:row r="112" ht="20" customHeight="1">
      <x:c r="A112" s="40"/>
      <x:c r="B112" s="40"/>
      <x:c r="C112" s="40"/>
      <x:c r="D112" s="17"/>
      <x:c r="E112" s="17"/>
      <x:c r="F112" s="17"/>
      <x:c r="G112" s="17"/>
      <x:c r="H112" s="17"/>
      <x:c r="I112" s="17"/>
      <x:c r="J112" s="17"/>
      <x:c r="K112" s="17"/>
      <x:c r="L112" s="17"/>
      <x:c r="M112" s="3"/>
      <x:c r="N112" s="3"/>
      <x:c r="O112" s="3"/>
      <x:c r="P112" s="3"/>
      <x:c r="Q112" s="3"/>
      <x:c r="R112" s="3"/>
    </x:row>
    <x:row r="113" ht="20" customHeight="1">
      <x:c r="A113" s="46"/>
      <x:c r="B113" s="46"/>
      <x:c r="C113" s="46"/>
      <x:c r="D113" s="46"/>
      <x:c r="E113" s="46"/>
      <x:c r="F113" s="46"/>
      <x:c r="G113" s="46"/>
      <x:c r="H113" s="46"/>
      <x:c r="I113" s="46"/>
      <x:c r="J113" s="46"/>
      <x:c r="K113" s="46"/>
      <x:c r="L113" s="46"/>
      <x:c r="M113" s="3"/>
      <x:c r="N113" s="3"/>
      <x:c r="O113" s="3"/>
      <x:c r="P113" s="3"/>
      <x:c r="Q113" s="3"/>
      <x:c r="R113" s="3"/>
    </x:row>
    <x:row r="114" ht="20" customHeight="1">
      <x:c r="A114" s="46"/>
      <x:c r="B114" s="46"/>
      <x:c r="C114" s="46"/>
      <x:c r="D114" s="46"/>
      <x:c r="E114" s="46"/>
      <x:c r="F114" s="46"/>
      <x:c r="G114" s="46"/>
      <x:c r="H114" s="46"/>
      <x:c r="I114" s="46"/>
      <x:c r="J114" s="46"/>
      <x:c r="K114" s="46"/>
      <x:c r="L114" s="46"/>
      <x:c r="M114" s="3"/>
      <x:c r="N114" s="3"/>
      <x:c r="O114" s="3"/>
      <x:c r="P114" s="3"/>
      <x:c r="Q114" s="3"/>
      <x:c r="R114" s="3"/>
    </x:row>
    <x:row r="115" ht="20" customHeight="1">
      <x:c r="A115" s="46"/>
      <x:c r="B115" s="46"/>
      <x:c r="C115" s="46"/>
      <x:c r="D115" s="46"/>
      <x:c r="E115" s="46"/>
      <x:c r="F115" s="46"/>
      <x:c r="G115" s="46"/>
      <x:c r="H115" s="46"/>
      <x:c r="I115" s="46"/>
      <x:c r="J115" s="46"/>
      <x:c r="K115" s="46"/>
      <x:c r="L115" s="46"/>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40" t="str">
        <x:v>02  Flow measures</x:v>
      </x:c>
      <x:c r="B117" s="40"/>
      <x:c r="C117" s="40"/>
      <x:c r="D117" s="17" t="str">
        <x:v>Show demand, completions and age.</x:v>
      </x:c>
      <x:c r="E117" s="17"/>
      <x:c r="F117" s="17"/>
      <x:c r="G117" s="17"/>
      <x:c r="H117" s="17"/>
      <x:c r="I117" s="17"/>
      <x:c r="J117" s="17"/>
      <x:c r="K117" s="17"/>
      <x:c r="L117" s="17"/>
      <x:c r="M117" s="3"/>
      <x:c r="N117" s="3"/>
      <x:c r="O117" s="3"/>
      <x:c r="P117" s="3"/>
      <x:c r="Q117" s="3"/>
      <x:c r="R117" s="3"/>
    </x:row>
    <x:row r="118" ht="20" customHeight="1">
      <x:c r="A118" s="40"/>
      <x:c r="B118" s="40"/>
      <x:c r="C118" s="40"/>
      <x:c r="D118" s="17"/>
      <x:c r="E118" s="17"/>
      <x:c r="F118" s="17"/>
      <x:c r="G118" s="17"/>
      <x:c r="H118" s="17"/>
      <x:c r="I118" s="17"/>
      <x:c r="J118" s="17"/>
      <x:c r="K118" s="17"/>
      <x:c r="L118" s="17"/>
      <x:c r="M118" s="3"/>
      <x:c r="N118" s="3"/>
      <x:c r="O118" s="3"/>
      <x:c r="P118" s="3"/>
      <x:c r="Q118" s="3"/>
      <x:c r="R118" s="3"/>
    </x:row>
    <x:row r="119" ht="20" customHeight="1">
      <x:c r="A119" s="46"/>
      <x:c r="B119" s="46"/>
      <x:c r="C119" s="46"/>
      <x:c r="D119" s="46"/>
      <x:c r="E119" s="46"/>
      <x:c r="F119" s="46"/>
      <x:c r="G119" s="46"/>
      <x:c r="H119" s="46"/>
      <x:c r="I119" s="46"/>
      <x:c r="J119" s="46"/>
      <x:c r="K119" s="46"/>
      <x:c r="L119" s="46"/>
      <x:c r="M119" s="3"/>
      <x:c r="N119" s="3"/>
      <x:c r="O119" s="3"/>
      <x:c r="P119" s="3"/>
      <x:c r="Q119" s="3"/>
      <x:c r="R119" s="3"/>
    </x:row>
    <x:row r="120" ht="20" customHeight="1">
      <x:c r="A120" s="46"/>
      <x:c r="B120" s="46"/>
      <x:c r="C120" s="46"/>
      <x:c r="D120" s="46"/>
      <x:c r="E120" s="46"/>
      <x:c r="F120" s="46"/>
      <x:c r="G120" s="46"/>
      <x:c r="H120" s="46"/>
      <x:c r="I120" s="46"/>
      <x:c r="J120" s="46"/>
      <x:c r="K120" s="46"/>
      <x:c r="L120" s="46"/>
      <x:c r="M120" s="3"/>
      <x:c r="N120" s="3"/>
      <x:c r="O120" s="3"/>
      <x:c r="P120" s="3"/>
      <x:c r="Q120" s="3"/>
      <x:c r="R120" s="3"/>
    </x:row>
    <x:row r="121" ht="20" customHeight="1">
      <x:c r="A121" s="46"/>
      <x:c r="B121" s="46"/>
      <x:c r="C121" s="46"/>
      <x:c r="D121" s="46"/>
      <x:c r="E121" s="46"/>
      <x:c r="F121" s="46"/>
      <x:c r="G121" s="46"/>
      <x:c r="H121" s="46"/>
      <x:c r="I121" s="46"/>
      <x:c r="J121" s="46"/>
      <x:c r="K121" s="46"/>
      <x:c r="L121" s="46"/>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40" t="str">
        <x:v>03  Quality and balancing</x:v>
      </x:c>
      <x:c r="B123" s="40"/>
      <x:c r="C123" s="40"/>
      <x:c r="D123" s="17" t="str">
        <x:v>Add safeguards and experience.</x:v>
      </x:c>
      <x:c r="E123" s="17"/>
      <x:c r="F123" s="17"/>
      <x:c r="G123" s="17"/>
      <x:c r="H123" s="17"/>
      <x:c r="I123" s="17"/>
      <x:c r="J123" s="17"/>
      <x:c r="K123" s="17"/>
      <x:c r="L123" s="17"/>
      <x:c r="M123" s="3"/>
      <x:c r="N123" s="3"/>
      <x:c r="O123" s="3"/>
      <x:c r="P123" s="3"/>
      <x:c r="Q123" s="3"/>
      <x:c r="R123" s="3"/>
    </x:row>
    <x:row r="124" ht="20" customHeight="1">
      <x:c r="A124" s="40"/>
      <x:c r="B124" s="40"/>
      <x:c r="C124" s="40"/>
      <x:c r="D124" s="17"/>
      <x:c r="E124" s="17"/>
      <x:c r="F124" s="17"/>
      <x:c r="G124" s="17"/>
      <x:c r="H124" s="17"/>
      <x:c r="I124" s="17"/>
      <x:c r="J124" s="17"/>
      <x:c r="K124" s="17"/>
      <x:c r="L124" s="17"/>
      <x:c r="M124" s="3"/>
      <x:c r="N124" s="3"/>
      <x:c r="O124" s="3"/>
      <x:c r="P124" s="3"/>
      <x:c r="Q124" s="3"/>
      <x:c r="R124" s="3"/>
    </x:row>
    <x:row r="125" ht="20" customHeight="1">
      <x:c r="A125" s="46"/>
      <x:c r="B125" s="46"/>
      <x:c r="C125" s="46"/>
      <x:c r="D125" s="46"/>
      <x:c r="E125" s="46"/>
      <x:c r="F125" s="46"/>
      <x:c r="G125" s="46"/>
      <x:c r="H125" s="46"/>
      <x:c r="I125" s="46"/>
      <x:c r="J125" s="46"/>
      <x:c r="K125" s="46"/>
      <x:c r="L125" s="46"/>
      <x:c r="M125" s="3"/>
      <x:c r="N125" s="3"/>
      <x:c r="O125" s="3"/>
      <x:c r="P125" s="3"/>
      <x:c r="Q125" s="3"/>
      <x:c r="R125" s="3"/>
    </x:row>
    <x:row r="126" ht="20" customHeight="1">
      <x:c r="A126" s="46"/>
      <x:c r="B126" s="46"/>
      <x:c r="C126" s="46"/>
      <x:c r="D126" s="46"/>
      <x:c r="E126" s="46"/>
      <x:c r="F126" s="46"/>
      <x:c r="G126" s="46"/>
      <x:c r="H126" s="46"/>
      <x:c r="I126" s="46"/>
      <x:c r="J126" s="46"/>
      <x:c r="K126" s="46"/>
      <x:c r="L126" s="46"/>
      <x:c r="M126" s="3"/>
      <x:c r="N126" s="3"/>
      <x:c r="O126" s="3"/>
      <x:c r="P126" s="3"/>
      <x:c r="Q126" s="3"/>
      <x:c r="R126" s="3"/>
    </x:row>
    <x:row r="127" ht="20" customHeight="1">
      <x:c r="A127" s="46"/>
      <x:c r="B127" s="46"/>
      <x:c r="C127" s="46"/>
      <x:c r="D127" s="46"/>
      <x:c r="E127" s="46"/>
      <x:c r="F127" s="46"/>
      <x:c r="G127" s="46"/>
      <x:c r="H127" s="46"/>
      <x:c r="I127" s="46"/>
      <x:c r="J127" s="46"/>
      <x:c r="K127" s="46"/>
      <x:c r="L127" s="46"/>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40" t="str">
        <x:v>04  Abnormalities</x:v>
      </x:c>
      <x:c r="B129" s="40"/>
      <x:c r="C129" s="40"/>
      <x:c r="D129" s="17" t="str">
        <x:v>Describe the condition and evidence.</x:v>
      </x:c>
      <x:c r="E129" s="17"/>
      <x:c r="F129" s="17"/>
      <x:c r="G129" s="17"/>
      <x:c r="H129" s="17"/>
      <x:c r="I129" s="17"/>
      <x:c r="J129" s="17"/>
      <x:c r="K129" s="17"/>
      <x:c r="L129" s="17"/>
      <x:c r="M129" s="3"/>
      <x:c r="N129" s="3"/>
      <x:c r="O129" s="3"/>
      <x:c r="P129" s="3"/>
      <x:c r="Q129" s="3"/>
      <x:c r="R129" s="3"/>
    </x:row>
    <x:row r="130" ht="20" customHeight="1">
      <x:c r="A130" s="40"/>
      <x:c r="B130" s="40"/>
      <x:c r="C130" s="40"/>
      <x:c r="D130" s="17"/>
      <x:c r="E130" s="17"/>
      <x:c r="F130" s="17"/>
      <x:c r="G130" s="17"/>
      <x:c r="H130" s="17"/>
      <x:c r="I130" s="17"/>
      <x:c r="J130" s="17"/>
      <x:c r="K130" s="17"/>
      <x:c r="L130" s="17"/>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46"/>
      <x:c r="B132" s="46"/>
      <x:c r="C132" s="46"/>
      <x:c r="D132" s="46"/>
      <x:c r="E132" s="46"/>
      <x:c r="F132" s="46"/>
      <x:c r="G132" s="46"/>
      <x:c r="H132" s="46"/>
      <x:c r="I132" s="46"/>
      <x:c r="J132" s="46"/>
      <x:c r="K132" s="46"/>
      <x:c r="L132" s="46"/>
      <x:c r="M132" s="3"/>
      <x:c r="N132" s="3"/>
      <x:c r="O132" s="3"/>
      <x:c r="P132" s="3"/>
      <x:c r="Q132" s="3"/>
      <x:c r="R132" s="3"/>
    </x:row>
    <x:row r="133" ht="20" customHeight="1">
      <x:c r="A133" s="46"/>
      <x:c r="B133" s="46"/>
      <x:c r="C133" s="46"/>
      <x:c r="D133" s="46"/>
      <x:c r="E133" s="46"/>
      <x:c r="F133" s="46"/>
      <x:c r="G133" s="46"/>
      <x:c r="H133" s="46"/>
      <x:c r="I133" s="46"/>
      <x:c r="J133" s="46"/>
      <x:c r="K133" s="46"/>
      <x:c r="L133" s="46"/>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40" t="str">
        <x:v>05  Actions and escalation</x:v>
      </x:c>
      <x:c r="B135" s="40"/>
      <x:c r="C135" s="40"/>
      <x:c r="D135" s="17" t="str">
        <x:v>Assign practical next steps.</x:v>
      </x:c>
      <x:c r="E135" s="17"/>
      <x:c r="F135" s="17"/>
      <x:c r="G135" s="17"/>
      <x:c r="H135" s="17"/>
      <x:c r="I135" s="17"/>
      <x:c r="J135" s="17"/>
      <x:c r="K135" s="17"/>
      <x:c r="L135" s="17"/>
      <x:c r="M135" s="3"/>
      <x:c r="N135" s="3"/>
      <x:c r="O135" s="3"/>
      <x:c r="P135" s="3"/>
      <x:c r="Q135" s="3"/>
      <x:c r="R135" s="3"/>
    </x:row>
    <x:row r="136" ht="20" customHeight="1">
      <x:c r="A136" s="40"/>
      <x:c r="B136" s="40"/>
      <x:c r="C136" s="40"/>
      <x:c r="D136" s="17"/>
      <x:c r="E136" s="17"/>
      <x:c r="F136" s="17"/>
      <x:c r="G136" s="17"/>
      <x:c r="H136" s="17"/>
      <x:c r="I136" s="17"/>
      <x:c r="J136" s="17"/>
      <x:c r="K136" s="17"/>
      <x:c r="L136" s="17"/>
      <x:c r="M136" s="3"/>
      <x:c r="N136" s="3"/>
      <x:c r="O136" s="3"/>
      <x:c r="P136" s="3"/>
      <x:c r="Q136" s="3"/>
      <x:c r="R136" s="3"/>
    </x:row>
    <x:row r="137" ht="20" customHeight="1">
      <x:c r="A137" s="46"/>
      <x:c r="B137" s="46"/>
      <x:c r="C137" s="46"/>
      <x:c r="D137" s="46"/>
      <x:c r="E137" s="46"/>
      <x:c r="F137" s="46"/>
      <x:c r="G137" s="46"/>
      <x:c r="H137" s="46"/>
      <x:c r="I137" s="46"/>
      <x:c r="J137" s="46"/>
      <x:c r="K137" s="46"/>
      <x:c r="L137" s="46"/>
      <x:c r="M137" s="3"/>
      <x:c r="N137" s="3"/>
      <x:c r="O137" s="3"/>
      <x:c r="P137" s="3"/>
      <x:c r="Q137" s="3"/>
      <x:c r="R137" s="3"/>
    </x:row>
    <x:row r="138" ht="20" customHeight="1">
      <x:c r="A138" s="46"/>
      <x:c r="B138" s="46"/>
      <x:c r="C138" s="46"/>
      <x:c r="D138" s="46"/>
      <x:c r="E138" s="46"/>
      <x:c r="F138" s="46"/>
      <x:c r="G138" s="46"/>
      <x:c r="H138" s="46"/>
      <x:c r="I138" s="46"/>
      <x:c r="J138" s="46"/>
      <x:c r="K138" s="46"/>
      <x:c r="L138" s="46"/>
      <x:c r="M138" s="3"/>
      <x:c r="N138" s="3"/>
      <x:c r="O138" s="3"/>
      <x:c r="P138" s="3"/>
      <x:c r="Q138" s="3"/>
      <x:c r="R138" s="3"/>
    </x:row>
    <x:row r="139" ht="20" customHeight="1">
      <x:c r="A139" s="46"/>
      <x:c r="B139" s="46"/>
      <x:c r="C139" s="46"/>
      <x:c r="D139" s="46"/>
      <x:c r="E139" s="46"/>
      <x:c r="F139" s="46"/>
      <x:c r="G139" s="46"/>
      <x:c r="H139" s="46"/>
      <x:c r="I139" s="46"/>
      <x:c r="J139" s="46"/>
      <x:c r="K139" s="46"/>
      <x:c r="L139" s="46"/>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40" t="str">
        <x:v>06  Review and learning</x:v>
      </x:c>
      <x:c r="B141" s="40"/>
      <x:c r="C141" s="40"/>
      <x:c r="D141" s="17" t="str">
        <x:v>Close actions with evidence.</x:v>
      </x:c>
      <x:c r="E141" s="17"/>
      <x:c r="F141" s="17"/>
      <x:c r="G141" s="17"/>
      <x:c r="H141" s="17"/>
      <x:c r="I141" s="17"/>
      <x:c r="J141" s="17"/>
      <x:c r="K141" s="17"/>
      <x:c r="L141" s="17"/>
      <x:c r="M141" s="3"/>
      <x:c r="N141" s="3"/>
      <x:c r="O141" s="3"/>
      <x:c r="P141" s="3"/>
      <x:c r="Q141" s="3"/>
      <x:c r="R141" s="3"/>
    </x:row>
    <x:row r="142" ht="20" customHeight="1">
      <x:c r="A142" s="40"/>
      <x:c r="B142" s="40"/>
      <x:c r="C142" s="40"/>
      <x:c r="D142" s="17"/>
      <x:c r="E142" s="17"/>
      <x:c r="F142" s="17"/>
      <x:c r="G142" s="17"/>
      <x:c r="H142" s="17"/>
      <x:c r="I142" s="17"/>
      <x:c r="J142" s="17"/>
      <x:c r="K142" s="17"/>
      <x:c r="L142" s="17"/>
      <x:c r="M142" s="3"/>
      <x:c r="N142" s="3"/>
      <x:c r="O142" s="3"/>
      <x:c r="P142" s="3"/>
      <x:c r="Q142" s="3"/>
      <x:c r="R142" s="3"/>
    </x:row>
    <x:row r="143" ht="20" customHeight="1">
      <x:c r="A143" s="46"/>
      <x:c r="B143" s="46"/>
      <x:c r="C143" s="46"/>
      <x:c r="D143" s="46"/>
      <x:c r="E143" s="46"/>
      <x:c r="F143" s="46"/>
      <x:c r="G143" s="46"/>
      <x:c r="H143" s="46"/>
      <x:c r="I143" s="46"/>
      <x:c r="J143" s="46"/>
      <x:c r="K143" s="46"/>
      <x:c r="L143" s="46"/>
      <x:c r="M143" s="3"/>
      <x:c r="N143" s="3"/>
      <x:c r="O143" s="3"/>
      <x:c r="P143" s="3"/>
      <x:c r="Q143" s="3"/>
      <x:c r="R143" s="3"/>
    </x:row>
    <x:row r="144" ht="20" customHeight="1">
      <x:c r="A144" s="46"/>
      <x:c r="B144" s="46"/>
      <x:c r="C144" s="46"/>
      <x:c r="D144" s="46"/>
      <x:c r="E144" s="46"/>
      <x:c r="F144" s="46"/>
      <x:c r="G144" s="46"/>
      <x:c r="H144" s="46"/>
      <x:c r="I144" s="46"/>
      <x:c r="J144" s="46"/>
      <x:c r="K144" s="46"/>
      <x:c r="L144" s="46"/>
      <x:c r="M144" s="3"/>
      <x:c r="N144" s="3"/>
      <x:c r="O144" s="3"/>
      <x:c r="P144" s="3"/>
      <x:c r="Q144" s="3"/>
      <x:c r="R144" s="3"/>
    </x:row>
    <x:row r="145" ht="20" customHeight="1">
      <x:c r="A145" s="46"/>
      <x:c r="B145" s="46"/>
      <x:c r="C145" s="46"/>
      <x:c r="D145" s="46"/>
      <x:c r="E145" s="46"/>
      <x:c r="F145" s="46"/>
      <x:c r="G145" s="46"/>
      <x:c r="H145" s="46"/>
      <x:c r="I145" s="46"/>
      <x:c r="J145" s="46"/>
      <x:c r="K145" s="46"/>
      <x:c r="L145" s="46"/>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Colour alone is insufficient: use labels, values and explanations. Do not expose personal case information or use the board to shame staff. A target miss is a prompt to understand conditions, not automatic evidence of poor effort.</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D06, C01, C03, A05  |  METHOD SOURCES: U02, U04, R31</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s>
  <x:pageMargins left="0.7" right="0.7" top="0.75" bottom="0.75" header="0.3" footer="0.3"/>
</x:worksheet>
</file>

<file path=xl/worksheets/sheet81.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C01  Leader standard work for improvement</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Define the leadership behaviours that make daily learning possible.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C01</x:v>
      </x:c>
      <x:c r="B9" s="34"/>
      <x:c r="C9" s="34"/>
      <x:c r="D9" s="34"/>
      <x:c r="E9" s="34"/>
      <x:c r="F9" s="34"/>
      <x:c r="G9" s="34"/>
      <x:c r="H9" s="34"/>
      <x:c r="I9" s="34"/>
      <x:c r="J9" s="34"/>
      <x:c r="K9" s="34"/>
      <x:c r="L9" s="34"/>
      <x:c r="M9" s="3"/>
      <x:c r="N9" s="3"/>
      <x:c r="O9" s="3"/>
      <x:c r="P9" s="3"/>
      <x:c r="Q9" s="3"/>
      <x:c r="R9" s="3"/>
    </x:row>
    <x:row r="10" ht="20" customHeight="1">
      <x:c r="A10" s="40" t="str">
        <x:v>01  Purpose and area</x:v>
      </x:c>
      <x:c r="B10" s="40"/>
      <x:c r="C10" s="40"/>
      <x:c r="D10" s="17" t="str">
        <x:v>Define the service and support need.</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Daily routine</x:v>
      </x:c>
      <x:c r="B16" s="40"/>
      <x:c r="C16" s="40"/>
      <x:c r="D16" s="17" t="str">
        <x:v>Specify a brief useful action.</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Weekly routine</x:v>
      </x:c>
      <x:c r="B22" s="40"/>
      <x:c r="C22" s="40"/>
      <x:c r="D22" s="17" t="str">
        <x:v>Connect measures with learning.</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Periodic routine</x:v>
      </x:c>
      <x:c r="B28" s="40"/>
      <x:c r="C28" s="40"/>
      <x:c r="D28" s="17" t="str">
        <x:v>Build capability and strategic alignment.</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Commitments and escalation</x:v>
      </x:c>
      <x:c r="B34" s="40"/>
      <x:c r="C34" s="40"/>
      <x:c r="D34" s="17" t="str">
        <x:v>Record response ownership.</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Review of effectiveness</x:v>
      </x:c>
      <x:c r="B40" s="40"/>
      <x:c r="C40" s="40"/>
      <x:c r="D40" s="17" t="str">
        <x:v>Assess usefulness and remove waste.</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Do not confuse leadership visibility with surveillance. Count useful responses and capability growth, not only visits or meetings. A leader who asks for problems must respond respectfully when problems are raised.</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C02, C04, C06  |  METHOD SOURCES: R31, R14</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82.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C02  Improvement coaching conversation</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Develop the learner's reasoning through a structured, respectful dialogue.</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C02</x:v>
      </x:c>
      <x:c r="B9" s="34"/>
      <x:c r="C9" s="34"/>
      <x:c r="D9" s="34"/>
      <x:c r="E9" s="34"/>
      <x:c r="F9" s="34"/>
      <x:c r="G9" s="34"/>
      <x:c r="H9" s="34"/>
      <x:c r="I9" s="34"/>
      <x:c r="J9" s="34"/>
      <x:c r="K9" s="34"/>
      <x:c r="L9" s="34"/>
      <x:c r="M9" s="3"/>
      <x:c r="N9" s="3"/>
      <x:c r="O9" s="3"/>
      <x:c r="P9" s="3"/>
      <x:c r="Q9" s="3"/>
      <x:c r="R9" s="3"/>
    </x:row>
    <x:row r="10" ht="20" customHeight="1">
      <x:c r="A10" s="40" t="str">
        <x:v>01  Target condition</x:v>
      </x:c>
      <x:c r="B10" s="40"/>
      <x:c r="C10" s="40"/>
      <x:c r="D10" s="17" t="str">
        <x:v>Describe the desired way of working.</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Current evidence</x:v>
      </x:c>
      <x:c r="B16" s="40"/>
      <x:c r="C16" s="40"/>
      <x:c r="D16" s="17" t="str">
        <x:v>State what is known and unknown.</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Obstacle</x:v>
      </x:c>
      <x:c r="B22" s="40"/>
      <x:c r="C22" s="40"/>
      <x:c r="D22" s="17" t="str">
        <x:v>Select one focus for learning.</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Previous learning</x:v>
      </x:c>
      <x:c r="B28" s="40"/>
      <x:c r="C28" s="40"/>
      <x:c r="D28" s="17" t="str">
        <x:v>Review prediction versus observation.</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Next experiment</x:v>
      </x:c>
      <x:c r="B34" s="40"/>
      <x:c r="C34" s="40"/>
      <x:c r="D34" s="17" t="str">
        <x:v>State action, prediction and observation.</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Support and review</x:v>
      </x:c>
      <x:c r="B40" s="40"/>
      <x:c r="C40" s="40"/>
      <x:c r="D40" s="17" t="str">
        <x:v>Agree the next conversation.</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This is a developmental conversation, not a psychological assessment or a covert performance rating. Do not force a test where safety or authority is missing. A coach should acknowledge uncertainty rather than manufacture certainty.</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P13, S01, A02  |  METHOD SOURCES: R33, R02, R14</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s>
  <x:pageMargins left="0.7" right="0.7" top="0.75" bottom="0.75" header="0.3" footer="0.3"/>
</x:worksheet>
</file>

<file path=xl/worksheets/sheet83.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C03  Kaizen suggestion and experiment funnel</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Turn staff ideas into visible, proportionate learning and feedback.</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C03</x:v>
      </x:c>
      <x:c r="B9" s="34"/>
      <x:c r="C9" s="34"/>
      <x:c r="D9" s="34"/>
      <x:c r="E9" s="34"/>
      <x:c r="F9" s="34"/>
      <x:c r="G9" s="34"/>
      <x:c r="H9" s="34"/>
      <x:c r="I9" s="34"/>
      <x:c r="J9" s="34"/>
      <x:c r="K9" s="34"/>
      <x:c r="L9" s="34"/>
      <x:c r="M9" s="3"/>
      <x:c r="N9" s="3"/>
      <x:c r="O9" s="3"/>
      <x:c r="P9" s="3"/>
      <x:c r="Q9" s="3"/>
      <x:c r="R9" s="3"/>
    </x:row>
    <x:row r="10" ht="20" customHeight="1">
      <x:c r="A10" s="40" t="str">
        <x:v>01  Problem and idea</x:v>
      </x:c>
      <x:c r="B10" s="40"/>
      <x:c r="C10" s="40"/>
      <x:c r="D10" s="17" t="str">
        <x:v>Record the observed difficulty.</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Value and evidence</x:v>
      </x:c>
      <x:c r="B16" s="40"/>
      <x:c r="C16" s="40"/>
      <x:c r="D16" s="17" t="str">
        <x:v>Explain the expected benefit.</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Routing and safety</x:v>
      </x:c>
      <x:c r="B22" s="40"/>
      <x:c r="C22" s="40"/>
      <x:c r="D22" s="17" t="str">
        <x:v>Select the appropriate pathway.</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Owner and next step</x:v>
      </x:c>
      <x:c r="B28" s="40"/>
      <x:c r="C28" s="40"/>
      <x:c r="D28" s="17" t="str">
        <x:v>Assign a proportionate action.</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Feedback and learning</x:v>
      </x:c>
      <x:c r="B34" s="40"/>
      <x:c r="C34" s="40"/>
      <x:c r="D34" s="17" t="str">
        <x:v>Return a reasoned response.</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Portfolio and sustainment</x:v>
      </x:c>
      <x:c r="B40" s="40"/>
      <x:c r="C40" s="40"/>
      <x:c r="D40" s="17" t="str">
        <x:v>Review useful outcomes and load.</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Anonymous or confidential concerns require appropriate handling and cannot always be discussed on a public board. Do not reward volume of ideas at the expense of useful outcomes or pressure staff to invent suggestions.</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V05, P13, C06  |  METHOD SOURCES: U04, R12, R14</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4" t="str">
        <x:v>LIVE WORKING REGISTER | Add evidence, ownership and a review date.</x:v>
      </x:c>
      <x:c r="B53" s="34"/>
      <x:c r="C53" s="34"/>
      <x:c r="D53" s="34"/>
      <x:c r="E53" s="34"/>
      <x:c r="F53" s="34"/>
      <x:c r="G53" s="34"/>
      <x:c r="H53" s="34"/>
      <x:c r="I53" s="34"/>
      <x:c r="J53" s="34"/>
      <x:c r="K53" s="34"/>
      <x:c r="L53" s="34"/>
      <x:c r="M53" s="3"/>
      <x:c r="N53" s="3"/>
      <x:c r="O53" s="3"/>
      <x:c r="P53" s="3"/>
      <x:c r="Q53" s="3"/>
      <x:c r="R53" s="3"/>
    </x:row>
    <x:row r="54" ht="20" customHeight="1">
      <x:c r="A54" s="34"/>
      <x:c r="B54" s="34"/>
      <x:c r="C54" s="34"/>
      <x:c r="D54" s="34"/>
      <x:c r="E54" s="34"/>
      <x:c r="F54" s="34"/>
      <x:c r="G54" s="34"/>
      <x:c r="H54" s="34"/>
      <x:c r="I54" s="34"/>
      <x:c r="J54" s="34"/>
      <x:c r="K54" s="34"/>
      <x:c r="L54" s="34"/>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38" customHeight="1">
      <x:c r="A56" s="77" t="str">
        <x:v>Idea ID</x:v>
      </x:c>
      <x:c r="B56" s="77" t="str">
        <x:v>Problem observed</x:v>
      </x:c>
      <x:c r="C56" s="77" t="str">
        <x:v>Proposer/team</x:v>
      </x:c>
      <x:c r="D56" s="77" t="str">
        <x:v>User value</x:v>
      </x:c>
      <x:c r="E56" s="77" t="str">
        <x:v>Evidence needed</x:v>
      </x:c>
      <x:c r="F56" s="77" t="str">
        <x:v>Next small test</x:v>
      </x:c>
      <x:c r="G56" s="77" t="str">
        <x:v>Owner</x:v>
      </x:c>
      <x:c r="H56" s="77" t="str">
        <x:v>Review date</x:v>
      </x:c>
      <x:c r="I56" s="77" t="str">
        <x:v>Decision</x:v>
      </x:c>
      <x:c r="J56" s="3"/>
      <x:c r="K56" s="3"/>
      <x:c r="L56" s="3"/>
      <x:c r="M56" s="3"/>
      <x:c r="N56" s="3"/>
      <x:c r="O56" s="3"/>
      <x:c r="P56" s="3"/>
      <x:c r="Q56" s="3"/>
      <x:c r="R56" s="3"/>
    </x:row>
    <x:row r="57" ht="34" customHeight="1">
      <x:c r="A57" s="46"/>
      <x:c r="B57" s="46"/>
      <x:c r="C57" s="46"/>
      <x:c r="D57" s="46"/>
      <x:c r="E57" s="46"/>
      <x:c r="F57" s="46"/>
      <x:c r="G57" s="46"/>
      <x:c r="H57" s="46"/>
      <x:c r="I57" s="46"/>
      <x:c r="J57" s="3"/>
      <x:c r="K57" s="3"/>
      <x:c r="L57" s="3"/>
      <x:c r="M57" s="3"/>
      <x:c r="N57" s="3"/>
      <x:c r="O57" s="3"/>
      <x:c r="P57" s="3"/>
      <x:c r="Q57" s="3"/>
      <x:c r="R57" s="3"/>
    </x:row>
    <x:row r="58" ht="34" customHeight="1">
      <x:c r="A58" s="46"/>
      <x:c r="B58" s="46"/>
      <x:c r="C58" s="46"/>
      <x:c r="D58" s="46"/>
      <x:c r="E58" s="46"/>
      <x:c r="F58" s="46"/>
      <x:c r="G58" s="46"/>
      <x:c r="H58" s="46"/>
      <x:c r="I58" s="46"/>
      <x:c r="J58" s="3"/>
      <x:c r="K58" s="3"/>
      <x:c r="L58" s="3"/>
      <x:c r="M58" s="3"/>
      <x:c r="N58" s="3"/>
      <x:c r="O58" s="3"/>
      <x:c r="P58" s="3"/>
      <x:c r="Q58" s="3"/>
      <x:c r="R58" s="3"/>
    </x:row>
    <x:row r="59" ht="34" customHeight="1">
      <x:c r="A59" s="46"/>
      <x:c r="B59" s="46"/>
      <x:c r="C59" s="46"/>
      <x:c r="D59" s="46"/>
      <x:c r="E59" s="46"/>
      <x:c r="F59" s="46"/>
      <x:c r="G59" s="46"/>
      <x:c r="H59" s="46"/>
      <x:c r="I59" s="46"/>
      <x:c r="J59" s="3"/>
      <x:c r="K59" s="3"/>
      <x:c r="L59" s="3"/>
      <x:c r="M59" s="3"/>
      <x:c r="N59" s="3"/>
      <x:c r="O59" s="3"/>
      <x:c r="P59" s="3"/>
      <x:c r="Q59" s="3"/>
      <x:c r="R59" s="3"/>
    </x:row>
    <x:row r="60" ht="34" customHeight="1">
      <x:c r="A60" s="46"/>
      <x:c r="B60" s="46"/>
      <x:c r="C60" s="46"/>
      <x:c r="D60" s="46"/>
      <x:c r="E60" s="46"/>
      <x:c r="F60" s="46"/>
      <x:c r="G60" s="46"/>
      <x:c r="H60" s="46"/>
      <x:c r="I60" s="46"/>
      <x:c r="J60" s="3"/>
      <x:c r="K60" s="3"/>
      <x:c r="L60" s="3"/>
      <x:c r="M60" s="3"/>
      <x:c r="N60" s="3"/>
      <x:c r="O60" s="3"/>
      <x:c r="P60" s="3"/>
      <x:c r="Q60" s="3"/>
      <x:c r="R60" s="3"/>
    </x:row>
    <x:row r="61" ht="34" customHeight="1">
      <x:c r="A61" s="46"/>
      <x:c r="B61" s="46"/>
      <x:c r="C61" s="46"/>
      <x:c r="D61" s="46"/>
      <x:c r="E61" s="46"/>
      <x:c r="F61" s="46"/>
      <x:c r="G61" s="46"/>
      <x:c r="H61" s="46"/>
      <x:c r="I61" s="46"/>
      <x:c r="J61" s="3"/>
      <x:c r="K61" s="3"/>
      <x:c r="L61" s="3"/>
      <x:c r="M61" s="3"/>
      <x:c r="N61" s="3"/>
      <x:c r="O61" s="3"/>
      <x:c r="P61" s="3"/>
      <x:c r="Q61" s="3"/>
      <x:c r="R61" s="3"/>
    </x:row>
    <x:row r="62" ht="34" customHeight="1">
      <x:c r="A62" s="46"/>
      <x:c r="B62" s="46"/>
      <x:c r="C62" s="46"/>
      <x:c r="D62" s="46"/>
      <x:c r="E62" s="46"/>
      <x:c r="F62" s="46"/>
      <x:c r="G62" s="46"/>
      <x:c r="H62" s="46"/>
      <x:c r="I62" s="46"/>
      <x:c r="J62" s="3"/>
      <x:c r="K62" s="3"/>
      <x:c r="L62" s="3"/>
      <x:c r="M62" s="3"/>
      <x:c r="N62" s="3"/>
      <x:c r="O62" s="3"/>
      <x:c r="P62" s="3"/>
      <x:c r="Q62" s="3"/>
      <x:c r="R62" s="3"/>
    </x:row>
    <x:row r="63" ht="34" customHeight="1">
      <x:c r="A63" s="46"/>
      <x:c r="B63" s="46"/>
      <x:c r="C63" s="46"/>
      <x:c r="D63" s="46"/>
      <x:c r="E63" s="46"/>
      <x:c r="F63" s="46"/>
      <x:c r="G63" s="46"/>
      <x:c r="H63" s="46"/>
      <x:c r="I63" s="46"/>
      <x:c r="J63" s="3"/>
      <x:c r="K63" s="3"/>
      <x:c r="L63" s="3"/>
      <x:c r="M63" s="3"/>
      <x:c r="N63" s="3"/>
      <x:c r="O63" s="3"/>
      <x:c r="P63" s="3"/>
      <x:c r="Q63" s="3"/>
      <x:c r="R63" s="3"/>
    </x:row>
    <x:row r="64" ht="34" customHeight="1">
      <x:c r="A64" s="46"/>
      <x:c r="B64" s="46"/>
      <x:c r="C64" s="46"/>
      <x:c r="D64" s="46"/>
      <x:c r="E64" s="46"/>
      <x:c r="F64" s="46"/>
      <x:c r="G64" s="46"/>
      <x:c r="H64" s="46"/>
      <x:c r="I64" s="46"/>
      <x:c r="J64" s="3"/>
      <x:c r="K64" s="3"/>
      <x:c r="L64" s="3"/>
      <x:c r="M64" s="3"/>
      <x:c r="N64" s="3"/>
      <x:c r="O64" s="3"/>
      <x:c r="P64" s="3"/>
      <x:c r="Q64" s="3"/>
      <x:c r="R64" s="3"/>
    </x:row>
    <x:row r="65" ht="34" customHeight="1">
      <x:c r="A65" s="46"/>
      <x:c r="B65" s="46"/>
      <x:c r="C65" s="46"/>
      <x:c r="D65" s="46"/>
      <x:c r="E65" s="46"/>
      <x:c r="F65" s="46"/>
      <x:c r="G65" s="46"/>
      <x:c r="H65" s="46"/>
      <x:c r="I65" s="46"/>
      <x:c r="J65" s="3"/>
      <x:c r="K65" s="3"/>
      <x:c r="L65" s="3"/>
      <x:c r="M65" s="3"/>
      <x:c r="N65" s="3"/>
      <x:c r="O65" s="3"/>
      <x:c r="P65" s="3"/>
      <x:c r="Q65" s="3"/>
      <x:c r="R65" s="3"/>
    </x:row>
    <x:row r="66" ht="34" customHeight="1">
      <x:c r="A66" s="46"/>
      <x:c r="B66" s="46"/>
      <x:c r="C66" s="46"/>
      <x:c r="D66" s="46"/>
      <x:c r="E66" s="46"/>
      <x:c r="F66" s="46"/>
      <x:c r="G66" s="46"/>
      <x:c r="H66" s="46"/>
      <x:c r="I66" s="46"/>
      <x:c r="J66" s="3"/>
      <x:c r="K66" s="3"/>
      <x:c r="L66" s="3"/>
      <x:c r="M66" s="3"/>
      <x:c r="N66" s="3"/>
      <x:c r="O66" s="3"/>
      <x:c r="P66" s="3"/>
      <x:c r="Q66" s="3"/>
      <x:c r="R66" s="3"/>
    </x:row>
    <x:row r="67" ht="34" customHeight="1">
      <x:c r="A67" s="46"/>
      <x:c r="B67" s="46"/>
      <x:c r="C67" s="46"/>
      <x:c r="D67" s="46"/>
      <x:c r="E67" s="46"/>
      <x:c r="F67" s="46"/>
      <x:c r="G67" s="46"/>
      <x:c r="H67" s="46"/>
      <x:c r="I67" s="46"/>
      <x:c r="J67" s="3"/>
      <x:c r="K67" s="3"/>
      <x:c r="L67" s="3"/>
      <x:c r="M67" s="3"/>
      <x:c r="N67" s="3"/>
      <x:c r="O67" s="3"/>
      <x:c r="P67" s="3"/>
      <x:c r="Q67" s="3"/>
      <x:c r="R67" s="3"/>
    </x:row>
    <x:row r="68" ht="34" customHeight="1">
      <x:c r="A68" s="46"/>
      <x:c r="B68" s="46"/>
      <x:c r="C68" s="46"/>
      <x:c r="D68" s="46"/>
      <x:c r="E68" s="46"/>
      <x:c r="F68" s="46"/>
      <x:c r="G68" s="46"/>
      <x:c r="H68" s="46"/>
      <x:c r="I68" s="46"/>
      <x:c r="J68" s="3"/>
      <x:c r="K68" s="3"/>
      <x:c r="L68" s="3"/>
      <x:c r="M68" s="3"/>
      <x:c r="N68" s="3"/>
      <x:c r="O68" s="3"/>
      <x:c r="P68" s="3"/>
      <x:c r="Q68" s="3"/>
      <x:c r="R68" s="3"/>
    </x:row>
    <x:row r="69" ht="34" customHeight="1">
      <x:c r="A69" s="46"/>
      <x:c r="B69" s="46"/>
      <x:c r="C69" s="46"/>
      <x:c r="D69" s="46"/>
      <x:c r="E69" s="46"/>
      <x:c r="F69" s="46"/>
      <x:c r="G69" s="46"/>
      <x:c r="H69" s="46"/>
      <x:c r="I69" s="46"/>
      <x:c r="J69" s="3"/>
      <x:c r="K69" s="3"/>
      <x:c r="L69" s="3"/>
      <x:c r="M69" s="3"/>
      <x:c r="N69" s="3"/>
      <x:c r="O69" s="3"/>
      <x:c r="P69" s="3"/>
      <x:c r="Q69" s="3"/>
      <x:c r="R69" s="3"/>
    </x:row>
    <x:row r="70" ht="34" customHeight="1">
      <x:c r="A70" s="46"/>
      <x:c r="B70" s="46"/>
      <x:c r="C70" s="46"/>
      <x:c r="D70" s="46"/>
      <x:c r="E70" s="46"/>
      <x:c r="F70" s="46"/>
      <x:c r="G70" s="46"/>
      <x:c r="H70" s="46"/>
      <x:c r="I70" s="46"/>
      <x:c r="J70" s="3"/>
      <x:c r="K70" s="3"/>
      <x:c r="L70" s="3"/>
      <x:c r="M70" s="3"/>
      <x:c r="N70" s="3"/>
      <x:c r="O70" s="3"/>
      <x:c r="P70" s="3"/>
      <x:c r="Q70" s="3"/>
      <x:c r="R70" s="3"/>
    </x:row>
    <x:row r="71" ht="34" customHeight="1">
      <x:c r="A71" s="46"/>
      <x:c r="B71" s="46"/>
      <x:c r="C71" s="46"/>
      <x:c r="D71" s="46"/>
      <x:c r="E71" s="46"/>
      <x:c r="F71" s="46"/>
      <x:c r="G71" s="46"/>
      <x:c r="H71" s="46"/>
      <x:c r="I71" s="46"/>
      <x:c r="J71" s="3"/>
      <x:c r="K71" s="3"/>
      <x:c r="L71" s="3"/>
      <x:c r="M71" s="3"/>
      <x:c r="N71" s="3"/>
      <x:c r="O71" s="3"/>
      <x:c r="P71" s="3"/>
      <x:c r="Q71" s="3"/>
      <x:c r="R71" s="3"/>
    </x:row>
    <x:row r="72" ht="34" customHeight="1">
      <x:c r="A72" s="46"/>
      <x:c r="B72" s="46"/>
      <x:c r="C72" s="46"/>
      <x:c r="D72" s="46"/>
      <x:c r="E72" s="46"/>
      <x:c r="F72" s="46"/>
      <x:c r="G72" s="46"/>
      <x:c r="H72" s="46"/>
      <x:c r="I72" s="46"/>
      <x:c r="J72" s="3"/>
      <x:c r="K72" s="3"/>
      <x:c r="L72" s="3"/>
      <x:c r="M72" s="3"/>
      <x:c r="N72" s="3"/>
      <x:c r="O72" s="3"/>
      <x:c r="P72" s="3"/>
      <x:c r="Q72" s="3"/>
      <x:c r="R72" s="3"/>
    </x:row>
    <x:row r="73" ht="34" customHeight="1">
      <x:c r="A73" s="46"/>
      <x:c r="B73" s="46"/>
      <x:c r="C73" s="46"/>
      <x:c r="D73" s="46"/>
      <x:c r="E73" s="46"/>
      <x:c r="F73" s="46"/>
      <x:c r="G73" s="46"/>
      <x:c r="H73" s="46"/>
      <x:c r="I73" s="46"/>
      <x:c r="J73" s="3"/>
      <x:c r="K73" s="3"/>
      <x:c r="L73" s="3"/>
      <x:c r="M73" s="3"/>
      <x:c r="N73" s="3"/>
      <x:c r="O73" s="3"/>
      <x:c r="P73" s="3"/>
      <x:c r="Q73" s="3"/>
      <x:c r="R73" s="3"/>
    </x:row>
    <x:row r="74" ht="34" customHeight="1">
      <x:c r="A74" s="46"/>
      <x:c r="B74" s="46"/>
      <x:c r="C74" s="46"/>
      <x:c r="D74" s="46"/>
      <x:c r="E74" s="46"/>
      <x:c r="F74" s="46"/>
      <x:c r="G74" s="46"/>
      <x:c r="H74" s="46"/>
      <x:c r="I74" s="46"/>
      <x:c r="J74" s="3"/>
      <x:c r="K74" s="3"/>
      <x:c r="L74" s="3"/>
      <x:c r="M74" s="3"/>
      <x:c r="N74" s="3"/>
      <x:c r="O74" s="3"/>
      <x:c r="P74" s="3"/>
      <x:c r="Q74" s="3"/>
      <x:c r="R74" s="3"/>
    </x:row>
    <x:row r="75" ht="34" customHeight="1">
      <x:c r="A75" s="46"/>
      <x:c r="B75" s="46"/>
      <x:c r="C75" s="46"/>
      <x:c r="D75" s="46"/>
      <x:c r="E75" s="46"/>
      <x:c r="F75" s="46"/>
      <x:c r="G75" s="46"/>
      <x:c r="H75" s="46"/>
      <x:c r="I75" s="46"/>
      <x:c r="J75" s="3"/>
      <x:c r="K75" s="3"/>
      <x:c r="L75" s="3"/>
      <x:c r="M75" s="3"/>
      <x:c r="N75" s="3"/>
      <x:c r="O75" s="3"/>
      <x:c r="P75" s="3"/>
      <x:c r="Q75" s="3"/>
      <x:c r="R75" s="3"/>
    </x:row>
    <x:row r="76" ht="34" customHeight="1">
      <x:c r="A76" s="46"/>
      <x:c r="B76" s="46"/>
      <x:c r="C76" s="46"/>
      <x:c r="D76" s="46"/>
      <x:c r="E76" s="46"/>
      <x:c r="F76" s="46"/>
      <x:c r="G76" s="46"/>
      <x:c r="H76" s="46"/>
      <x:c r="I76" s="46"/>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136" t="str">
        <x:v>Record facts separately from hypotheses. A populated row is not approval: keep the decision authority and supporting evidence explicit. Review access controls before entering identifiable or sensitive information.</x:v>
      </x:c>
      <x:c r="B79" s="136"/>
      <x:c r="C79" s="136"/>
      <x:c r="D79" s="136"/>
      <x:c r="E79" s="136"/>
      <x:c r="F79" s="136"/>
      <x:c r="G79" s="136"/>
      <x:c r="H79" s="136"/>
      <x:c r="I79" s="136"/>
      <x:c r="J79" s="136"/>
      <x:c r="K79" s="136"/>
      <x:c r="L79" s="136"/>
      <x:c r="M79" s="3"/>
      <x:c r="N79" s="3"/>
      <x:c r="O79" s="3"/>
      <x:c r="P79" s="3"/>
      <x:c r="Q79" s="3"/>
      <x:c r="R79" s="3"/>
    </x:row>
    <x:row r="80" ht="20" customHeight="1">
      <x:c r="A80" s="136"/>
      <x:c r="B80" s="136"/>
      <x:c r="C80" s="136"/>
      <x:c r="D80" s="136"/>
      <x:c r="E80" s="136"/>
      <x:c r="F80" s="136"/>
      <x:c r="G80" s="136"/>
      <x:c r="H80" s="136"/>
      <x:c r="I80" s="136"/>
      <x:c r="J80" s="136"/>
      <x:c r="K80" s="136"/>
      <x:c r="L80" s="136"/>
      <x:c r="M80" s="3"/>
      <x:c r="N80" s="3"/>
      <x:c r="O80" s="3"/>
      <x:c r="P80" s="3"/>
      <x:c r="Q80" s="3"/>
      <x:c r="R80" s="3"/>
    </x:row>
    <x:row r="81" ht="20" customHeight="1">
      <x:c r="A81" s="136"/>
      <x:c r="B81" s="136"/>
      <x:c r="C81" s="136"/>
      <x:c r="D81" s="136"/>
      <x:c r="E81" s="136"/>
      <x:c r="F81" s="136"/>
      <x:c r="G81" s="136"/>
      <x:c r="H81" s="136"/>
      <x:c r="I81" s="136"/>
      <x:c r="J81" s="136"/>
      <x:c r="K81" s="136"/>
      <x:c r="L81" s="136"/>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 ref="A53:L54"/>
    <x:mergeCell ref="A79:L81"/>
  </x:mergeCells>
  <x:pageMargins left="0.7" right="0.7" top="0.75" bottom="0.75" header="0.3" footer="0.3"/>
</x:worksheet>
</file>

<file path=xl/worksheets/sheet84.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C04  Layered process review and improvement audit</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Check whether the operating system supports the agreed standard and responds to gaps.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C04</x:v>
      </x:c>
      <x:c r="B9" s="34"/>
      <x:c r="C9" s="34"/>
      <x:c r="D9" s="34"/>
      <x:c r="E9" s="34"/>
      <x:c r="F9" s="34"/>
      <x:c r="G9" s="34"/>
      <x:c r="H9" s="34"/>
      <x:c r="I9" s="34"/>
      <x:c r="J9" s="34"/>
      <x:c r="K9" s="34"/>
      <x:c r="L9" s="34"/>
      <x:c r="M9" s="3"/>
      <x:c r="N9" s="3"/>
      <x:c r="O9" s="3"/>
      <x:c r="P9" s="3"/>
      <x:c r="Q9" s="3"/>
      <x:c r="R9" s="3"/>
    </x:row>
    <x:row r="10" ht="20" customHeight="1">
      <x:c r="A10" s="40" t="str">
        <x:v>01  Scope and level</x:v>
      </x:c>
      <x:c r="B10" s="40"/>
      <x:c r="C10" s="40"/>
      <x:c r="D10" s="17" t="str">
        <x:v>Define who reviews what and why.</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Criteria and evidence</x:v>
      </x:c>
      <x:c r="B16" s="40"/>
      <x:c r="C16" s="40"/>
      <x:c r="D16" s="17" t="str">
        <x:v>Specify observable conditions.</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Findings</x:v>
      </x:c>
      <x:c r="B22" s="40"/>
      <x:c r="C22" s="40"/>
      <x:c r="D22" s="17" t="str">
        <x:v>Distinguish gap, not observed and not applicable.</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Cause and risk</x:v>
      </x:c>
      <x:c r="B28" s="40"/>
      <x:c r="C28" s="40"/>
      <x:c r="D28" s="17" t="str">
        <x:v>Understand the supporting system.</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Action and verification</x:v>
      </x:c>
      <x:c r="B34" s="40"/>
      <x:c r="C34" s="40"/>
      <x:c r="D34" s="17" t="str">
        <x:v>Assign a corrective system response.</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Learning and revision</x:v>
      </x:c>
      <x:c r="B40" s="40"/>
      <x:c r="C40" s="40"/>
      <x:c r="D40" s="17" t="str">
        <x:v>Improve the review itself.</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An audit percentage is not evidence of process capability or a validated employee score. Not observed is different from compliant. Serious control gaps require immediate action regardless of the overall completion rate.</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F03, A05, C01  |  METHOD SOURCES: U02, R31, R14</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4" t="str">
        <x:v>LIVE WORKING REGISTER | Add evidence, ownership and a review date.</x:v>
      </x:c>
      <x:c r="B53" s="34"/>
      <x:c r="C53" s="34"/>
      <x:c r="D53" s="34"/>
      <x:c r="E53" s="34"/>
      <x:c r="F53" s="34"/>
      <x:c r="G53" s="34"/>
      <x:c r="H53" s="34"/>
      <x:c r="I53" s="34"/>
      <x:c r="J53" s="34"/>
      <x:c r="K53" s="34"/>
      <x:c r="L53" s="34"/>
      <x:c r="M53" s="3"/>
      <x:c r="N53" s="3"/>
      <x:c r="O53" s="3"/>
      <x:c r="P53" s="3"/>
      <x:c r="Q53" s="3"/>
      <x:c r="R53" s="3"/>
    </x:row>
    <x:row r="54" ht="20" customHeight="1">
      <x:c r="A54" s="34"/>
      <x:c r="B54" s="34"/>
      <x:c r="C54" s="34"/>
      <x:c r="D54" s="34"/>
      <x:c r="E54" s="34"/>
      <x:c r="F54" s="34"/>
      <x:c r="G54" s="34"/>
      <x:c r="H54" s="34"/>
      <x:c r="I54" s="34"/>
      <x:c r="J54" s="34"/>
      <x:c r="K54" s="34"/>
      <x:c r="L54" s="34"/>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38" customHeight="1">
      <x:c r="A56" s="77" t="str">
        <x:v>Review date</x:v>
      </x:c>
      <x:c r="B56" s="77" t="str">
        <x:v>Process condition</x:v>
      </x:c>
      <x:c r="C56" s="77" t="str">
        <x:v>Evidence reviewed</x:v>
      </x:c>
      <x:c r="D56" s="77" t="str">
        <x:v>Standard followed?</x:v>
      </x:c>
      <x:c r="E56" s="77" t="str">
        <x:v>Exception/concern</x:v>
      </x:c>
      <x:c r="F56" s="77" t="str">
        <x:v>Decision</x:v>
      </x:c>
      <x:c r="G56" s="77" t="str">
        <x:v>Owner</x:v>
      </x:c>
      <x:c r="H56" s="77" t="str">
        <x:v>Due</x:v>
      </x:c>
      <x:c r="I56" s="77" t="str">
        <x:v>Follow-up</x:v>
      </x:c>
      <x:c r="J56" s="3"/>
      <x:c r="K56" s="3"/>
      <x:c r="L56" s="3"/>
      <x:c r="M56" s="3"/>
      <x:c r="N56" s="3"/>
      <x:c r="O56" s="3"/>
      <x:c r="P56" s="3"/>
      <x:c r="Q56" s="3"/>
      <x:c r="R56" s="3"/>
    </x:row>
    <x:row r="57" ht="34" customHeight="1">
      <x:c r="A57" s="46"/>
      <x:c r="B57" s="46"/>
      <x:c r="C57" s="46"/>
      <x:c r="D57" s="46"/>
      <x:c r="E57" s="46"/>
      <x:c r="F57" s="46"/>
      <x:c r="G57" s="46"/>
      <x:c r="H57" s="46"/>
      <x:c r="I57" s="46"/>
      <x:c r="J57" s="3"/>
      <x:c r="K57" s="3"/>
      <x:c r="L57" s="3"/>
      <x:c r="M57" s="3"/>
      <x:c r="N57" s="3"/>
      <x:c r="O57" s="3"/>
      <x:c r="P57" s="3"/>
      <x:c r="Q57" s="3"/>
      <x:c r="R57" s="3"/>
    </x:row>
    <x:row r="58" ht="34" customHeight="1">
      <x:c r="A58" s="46"/>
      <x:c r="B58" s="46"/>
      <x:c r="C58" s="46"/>
      <x:c r="D58" s="46"/>
      <x:c r="E58" s="46"/>
      <x:c r="F58" s="46"/>
      <x:c r="G58" s="46"/>
      <x:c r="H58" s="46"/>
      <x:c r="I58" s="46"/>
      <x:c r="J58" s="3"/>
      <x:c r="K58" s="3"/>
      <x:c r="L58" s="3"/>
      <x:c r="M58" s="3"/>
      <x:c r="N58" s="3"/>
      <x:c r="O58" s="3"/>
      <x:c r="P58" s="3"/>
      <x:c r="Q58" s="3"/>
      <x:c r="R58" s="3"/>
    </x:row>
    <x:row r="59" ht="34" customHeight="1">
      <x:c r="A59" s="46"/>
      <x:c r="B59" s="46"/>
      <x:c r="C59" s="46"/>
      <x:c r="D59" s="46"/>
      <x:c r="E59" s="46"/>
      <x:c r="F59" s="46"/>
      <x:c r="G59" s="46"/>
      <x:c r="H59" s="46"/>
      <x:c r="I59" s="46"/>
      <x:c r="J59" s="3"/>
      <x:c r="K59" s="3"/>
      <x:c r="L59" s="3"/>
      <x:c r="M59" s="3"/>
      <x:c r="N59" s="3"/>
      <x:c r="O59" s="3"/>
      <x:c r="P59" s="3"/>
      <x:c r="Q59" s="3"/>
      <x:c r="R59" s="3"/>
    </x:row>
    <x:row r="60" ht="34" customHeight="1">
      <x:c r="A60" s="46"/>
      <x:c r="B60" s="46"/>
      <x:c r="C60" s="46"/>
      <x:c r="D60" s="46"/>
      <x:c r="E60" s="46"/>
      <x:c r="F60" s="46"/>
      <x:c r="G60" s="46"/>
      <x:c r="H60" s="46"/>
      <x:c r="I60" s="46"/>
      <x:c r="J60" s="3"/>
      <x:c r="K60" s="3"/>
      <x:c r="L60" s="3"/>
      <x:c r="M60" s="3"/>
      <x:c r="N60" s="3"/>
      <x:c r="O60" s="3"/>
      <x:c r="P60" s="3"/>
      <x:c r="Q60" s="3"/>
      <x:c r="R60" s="3"/>
    </x:row>
    <x:row r="61" ht="34" customHeight="1">
      <x:c r="A61" s="46"/>
      <x:c r="B61" s="46"/>
      <x:c r="C61" s="46"/>
      <x:c r="D61" s="46"/>
      <x:c r="E61" s="46"/>
      <x:c r="F61" s="46"/>
      <x:c r="G61" s="46"/>
      <x:c r="H61" s="46"/>
      <x:c r="I61" s="46"/>
      <x:c r="J61" s="3"/>
      <x:c r="K61" s="3"/>
      <x:c r="L61" s="3"/>
      <x:c r="M61" s="3"/>
      <x:c r="N61" s="3"/>
      <x:c r="O61" s="3"/>
      <x:c r="P61" s="3"/>
      <x:c r="Q61" s="3"/>
      <x:c r="R61" s="3"/>
    </x:row>
    <x:row r="62" ht="34" customHeight="1">
      <x:c r="A62" s="46"/>
      <x:c r="B62" s="46"/>
      <x:c r="C62" s="46"/>
      <x:c r="D62" s="46"/>
      <x:c r="E62" s="46"/>
      <x:c r="F62" s="46"/>
      <x:c r="G62" s="46"/>
      <x:c r="H62" s="46"/>
      <x:c r="I62" s="46"/>
      <x:c r="J62" s="3"/>
      <x:c r="K62" s="3"/>
      <x:c r="L62" s="3"/>
      <x:c r="M62" s="3"/>
      <x:c r="N62" s="3"/>
      <x:c r="O62" s="3"/>
      <x:c r="P62" s="3"/>
      <x:c r="Q62" s="3"/>
      <x:c r="R62" s="3"/>
    </x:row>
    <x:row r="63" ht="34" customHeight="1">
      <x:c r="A63" s="46"/>
      <x:c r="B63" s="46"/>
      <x:c r="C63" s="46"/>
      <x:c r="D63" s="46"/>
      <x:c r="E63" s="46"/>
      <x:c r="F63" s="46"/>
      <x:c r="G63" s="46"/>
      <x:c r="H63" s="46"/>
      <x:c r="I63" s="46"/>
      <x:c r="J63" s="3"/>
      <x:c r="K63" s="3"/>
      <x:c r="L63" s="3"/>
      <x:c r="M63" s="3"/>
      <x:c r="N63" s="3"/>
      <x:c r="O63" s="3"/>
      <x:c r="P63" s="3"/>
      <x:c r="Q63" s="3"/>
      <x:c r="R63" s="3"/>
    </x:row>
    <x:row r="64" ht="34" customHeight="1">
      <x:c r="A64" s="46"/>
      <x:c r="B64" s="46"/>
      <x:c r="C64" s="46"/>
      <x:c r="D64" s="46"/>
      <x:c r="E64" s="46"/>
      <x:c r="F64" s="46"/>
      <x:c r="G64" s="46"/>
      <x:c r="H64" s="46"/>
      <x:c r="I64" s="46"/>
      <x:c r="J64" s="3"/>
      <x:c r="K64" s="3"/>
      <x:c r="L64" s="3"/>
      <x:c r="M64" s="3"/>
      <x:c r="N64" s="3"/>
      <x:c r="O64" s="3"/>
      <x:c r="P64" s="3"/>
      <x:c r="Q64" s="3"/>
      <x:c r="R64" s="3"/>
    </x:row>
    <x:row r="65" ht="34" customHeight="1">
      <x:c r="A65" s="46"/>
      <x:c r="B65" s="46"/>
      <x:c r="C65" s="46"/>
      <x:c r="D65" s="46"/>
      <x:c r="E65" s="46"/>
      <x:c r="F65" s="46"/>
      <x:c r="G65" s="46"/>
      <x:c r="H65" s="46"/>
      <x:c r="I65" s="46"/>
      <x:c r="J65" s="3"/>
      <x:c r="K65" s="3"/>
      <x:c r="L65" s="3"/>
      <x:c r="M65" s="3"/>
      <x:c r="N65" s="3"/>
      <x:c r="O65" s="3"/>
      <x:c r="P65" s="3"/>
      <x:c r="Q65" s="3"/>
      <x:c r="R65" s="3"/>
    </x:row>
    <x:row r="66" ht="34" customHeight="1">
      <x:c r="A66" s="46"/>
      <x:c r="B66" s="46"/>
      <x:c r="C66" s="46"/>
      <x:c r="D66" s="46"/>
      <x:c r="E66" s="46"/>
      <x:c r="F66" s="46"/>
      <x:c r="G66" s="46"/>
      <x:c r="H66" s="46"/>
      <x:c r="I66" s="46"/>
      <x:c r="J66" s="3"/>
      <x:c r="K66" s="3"/>
      <x:c r="L66" s="3"/>
      <x:c r="M66" s="3"/>
      <x:c r="N66" s="3"/>
      <x:c r="O66" s="3"/>
      <x:c r="P66" s="3"/>
      <x:c r="Q66" s="3"/>
      <x:c r="R66" s="3"/>
    </x:row>
    <x:row r="67" ht="34" customHeight="1">
      <x:c r="A67" s="46"/>
      <x:c r="B67" s="46"/>
      <x:c r="C67" s="46"/>
      <x:c r="D67" s="46"/>
      <x:c r="E67" s="46"/>
      <x:c r="F67" s="46"/>
      <x:c r="G67" s="46"/>
      <x:c r="H67" s="46"/>
      <x:c r="I67" s="46"/>
      <x:c r="J67" s="3"/>
      <x:c r="K67" s="3"/>
      <x:c r="L67" s="3"/>
      <x:c r="M67" s="3"/>
      <x:c r="N67" s="3"/>
      <x:c r="O67" s="3"/>
      <x:c r="P67" s="3"/>
      <x:c r="Q67" s="3"/>
      <x:c r="R67" s="3"/>
    </x:row>
    <x:row r="68" ht="34" customHeight="1">
      <x:c r="A68" s="46"/>
      <x:c r="B68" s="46"/>
      <x:c r="C68" s="46"/>
      <x:c r="D68" s="46"/>
      <x:c r="E68" s="46"/>
      <x:c r="F68" s="46"/>
      <x:c r="G68" s="46"/>
      <x:c r="H68" s="46"/>
      <x:c r="I68" s="46"/>
      <x:c r="J68" s="3"/>
      <x:c r="K68" s="3"/>
      <x:c r="L68" s="3"/>
      <x:c r="M68" s="3"/>
      <x:c r="N68" s="3"/>
      <x:c r="O68" s="3"/>
      <x:c r="P68" s="3"/>
      <x:c r="Q68" s="3"/>
      <x:c r="R68" s="3"/>
    </x:row>
    <x:row r="69" ht="34" customHeight="1">
      <x:c r="A69" s="46"/>
      <x:c r="B69" s="46"/>
      <x:c r="C69" s="46"/>
      <x:c r="D69" s="46"/>
      <x:c r="E69" s="46"/>
      <x:c r="F69" s="46"/>
      <x:c r="G69" s="46"/>
      <x:c r="H69" s="46"/>
      <x:c r="I69" s="46"/>
      <x:c r="J69" s="3"/>
      <x:c r="K69" s="3"/>
      <x:c r="L69" s="3"/>
      <x:c r="M69" s="3"/>
      <x:c r="N69" s="3"/>
      <x:c r="O69" s="3"/>
      <x:c r="P69" s="3"/>
      <x:c r="Q69" s="3"/>
      <x:c r="R69" s="3"/>
    </x:row>
    <x:row r="70" ht="34" customHeight="1">
      <x:c r="A70" s="46"/>
      <x:c r="B70" s="46"/>
      <x:c r="C70" s="46"/>
      <x:c r="D70" s="46"/>
      <x:c r="E70" s="46"/>
      <x:c r="F70" s="46"/>
      <x:c r="G70" s="46"/>
      <x:c r="H70" s="46"/>
      <x:c r="I70" s="46"/>
      <x:c r="J70" s="3"/>
      <x:c r="K70" s="3"/>
      <x:c r="L70" s="3"/>
      <x:c r="M70" s="3"/>
      <x:c r="N70" s="3"/>
      <x:c r="O70" s="3"/>
      <x:c r="P70" s="3"/>
      <x:c r="Q70" s="3"/>
      <x:c r="R70" s="3"/>
    </x:row>
    <x:row r="71" ht="34" customHeight="1">
      <x:c r="A71" s="46"/>
      <x:c r="B71" s="46"/>
      <x:c r="C71" s="46"/>
      <x:c r="D71" s="46"/>
      <x:c r="E71" s="46"/>
      <x:c r="F71" s="46"/>
      <x:c r="G71" s="46"/>
      <x:c r="H71" s="46"/>
      <x:c r="I71" s="46"/>
      <x:c r="J71" s="3"/>
      <x:c r="K71" s="3"/>
      <x:c r="L71" s="3"/>
      <x:c r="M71" s="3"/>
      <x:c r="N71" s="3"/>
      <x:c r="O71" s="3"/>
      <x:c r="P71" s="3"/>
      <x:c r="Q71" s="3"/>
      <x:c r="R71" s="3"/>
    </x:row>
    <x:row r="72" ht="34" customHeight="1">
      <x:c r="A72" s="46"/>
      <x:c r="B72" s="46"/>
      <x:c r="C72" s="46"/>
      <x:c r="D72" s="46"/>
      <x:c r="E72" s="46"/>
      <x:c r="F72" s="46"/>
      <x:c r="G72" s="46"/>
      <x:c r="H72" s="46"/>
      <x:c r="I72" s="46"/>
      <x:c r="J72" s="3"/>
      <x:c r="K72" s="3"/>
      <x:c r="L72" s="3"/>
      <x:c r="M72" s="3"/>
      <x:c r="N72" s="3"/>
      <x:c r="O72" s="3"/>
      <x:c r="P72" s="3"/>
      <x:c r="Q72" s="3"/>
      <x:c r="R72" s="3"/>
    </x:row>
    <x:row r="73" ht="34" customHeight="1">
      <x:c r="A73" s="46"/>
      <x:c r="B73" s="46"/>
      <x:c r="C73" s="46"/>
      <x:c r="D73" s="46"/>
      <x:c r="E73" s="46"/>
      <x:c r="F73" s="46"/>
      <x:c r="G73" s="46"/>
      <x:c r="H73" s="46"/>
      <x:c r="I73" s="46"/>
      <x:c r="J73" s="3"/>
      <x:c r="K73" s="3"/>
      <x:c r="L73" s="3"/>
      <x:c r="M73" s="3"/>
      <x:c r="N73" s="3"/>
      <x:c r="O73" s="3"/>
      <x:c r="P73" s="3"/>
      <x:c r="Q73" s="3"/>
      <x:c r="R73" s="3"/>
    </x:row>
    <x:row r="74" ht="34" customHeight="1">
      <x:c r="A74" s="46"/>
      <x:c r="B74" s="46"/>
      <x:c r="C74" s="46"/>
      <x:c r="D74" s="46"/>
      <x:c r="E74" s="46"/>
      <x:c r="F74" s="46"/>
      <x:c r="G74" s="46"/>
      <x:c r="H74" s="46"/>
      <x:c r="I74" s="46"/>
      <x:c r="J74" s="3"/>
      <x:c r="K74" s="3"/>
      <x:c r="L74" s="3"/>
      <x:c r="M74" s="3"/>
      <x:c r="N74" s="3"/>
      <x:c r="O74" s="3"/>
      <x:c r="P74" s="3"/>
      <x:c r="Q74" s="3"/>
      <x:c r="R74" s="3"/>
    </x:row>
    <x:row r="75" ht="34" customHeight="1">
      <x:c r="A75" s="46"/>
      <x:c r="B75" s="46"/>
      <x:c r="C75" s="46"/>
      <x:c r="D75" s="46"/>
      <x:c r="E75" s="46"/>
      <x:c r="F75" s="46"/>
      <x:c r="G75" s="46"/>
      <x:c r="H75" s="46"/>
      <x:c r="I75" s="46"/>
      <x:c r="J75" s="3"/>
      <x:c r="K75" s="3"/>
      <x:c r="L75" s="3"/>
      <x:c r="M75" s="3"/>
      <x:c r="N75" s="3"/>
      <x:c r="O75" s="3"/>
      <x:c r="P75" s="3"/>
      <x:c r="Q75" s="3"/>
      <x:c r="R75" s="3"/>
    </x:row>
    <x:row r="76" ht="34" customHeight="1">
      <x:c r="A76" s="46"/>
      <x:c r="B76" s="46"/>
      <x:c r="C76" s="46"/>
      <x:c r="D76" s="46"/>
      <x:c r="E76" s="46"/>
      <x:c r="F76" s="46"/>
      <x:c r="G76" s="46"/>
      <x:c r="H76" s="46"/>
      <x:c r="I76" s="46"/>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136" t="str">
        <x:v>Record facts separately from hypotheses. A populated row is not approval: keep the decision authority and supporting evidence explicit. Review access controls before entering identifiable or sensitive information.</x:v>
      </x:c>
      <x:c r="B79" s="136"/>
      <x:c r="C79" s="136"/>
      <x:c r="D79" s="136"/>
      <x:c r="E79" s="136"/>
      <x:c r="F79" s="136"/>
      <x:c r="G79" s="136"/>
      <x:c r="H79" s="136"/>
      <x:c r="I79" s="136"/>
      <x:c r="J79" s="136"/>
      <x:c r="K79" s="136"/>
      <x:c r="L79" s="136"/>
      <x:c r="M79" s="3"/>
      <x:c r="N79" s="3"/>
      <x:c r="O79" s="3"/>
      <x:c r="P79" s="3"/>
      <x:c r="Q79" s="3"/>
      <x:c r="R79" s="3"/>
    </x:row>
    <x:row r="80" ht="20" customHeight="1">
      <x:c r="A80" s="136"/>
      <x:c r="B80" s="136"/>
      <x:c r="C80" s="136"/>
      <x:c r="D80" s="136"/>
      <x:c r="E80" s="136"/>
      <x:c r="F80" s="136"/>
      <x:c r="G80" s="136"/>
      <x:c r="H80" s="136"/>
      <x:c r="I80" s="136"/>
      <x:c r="J80" s="136"/>
      <x:c r="K80" s="136"/>
      <x:c r="L80" s="136"/>
      <x:c r="M80" s="3"/>
      <x:c r="N80" s="3"/>
      <x:c r="O80" s="3"/>
      <x:c r="P80" s="3"/>
      <x:c r="Q80" s="3"/>
      <x:c r="R80" s="3"/>
    </x:row>
    <x:row r="81" ht="20" customHeight="1">
      <x:c r="A81" s="136"/>
      <x:c r="B81" s="136"/>
      <x:c r="C81" s="136"/>
      <x:c r="D81" s="136"/>
      <x:c r="E81" s="136"/>
      <x:c r="F81" s="136"/>
      <x:c r="G81" s="136"/>
      <x:c r="H81" s="136"/>
      <x:c r="I81" s="136"/>
      <x:c r="J81" s="136"/>
      <x:c r="K81" s="136"/>
      <x:c r="L81" s="136"/>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 ref="A53:L54"/>
    <x:mergeCell ref="A79:L81"/>
  </x:mergeCells>
  <x:pageMargins left="0.7" right="0.7" top="0.75" bottom="0.75" header="0.3" footer="0.3"/>
</x:worksheet>
</file>

<file path=xl/worksheets/sheet85.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31" hidden="0" customWidth="1"/>
    <x:col min="2" max="2" width="22" hidden="0" customWidth="1"/>
    <x:col min="3" max="3" width="60" hidden="0" customWidth="1"/>
    <x:col min="4" max="4" width="20" hidden="0" customWidth="1"/>
    <x:col min="5" max="5" width="60" hidden="0" customWidth="1"/>
    <x:col min="6" max="6" width="24" hidden="0" customWidth="1"/>
    <x:col min="7" max="7" width="18"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C05  Improvement-system maturity conversation</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Use four observable levels to plan development, not to label people or certify an organisation.</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38" customHeight="1">
      <x:c r="A9" s="77" t="str">
        <x:v>Dimension</x:v>
      </x:c>
      <x:c r="B9" s="77" t="str">
        <x:v>Supported level</x:v>
      </x:c>
      <x:c r="C9" s="77" t="str">
        <x:v>Evidence / contrary evidence</x:v>
      </x:c>
      <x:c r="D9" s="77" t="str">
        <x:v>Confidence</x:v>
      </x:c>
      <x:c r="E9" s="77" t="str">
        <x:v>Next-level action</x:v>
      </x:c>
      <x:c r="F9" s="77" t="str">
        <x:v>Owner</x:v>
      </x:c>
      <x:c r="G9" s="77" t="str">
        <x:v>Review date</x:v>
      </x:c>
      <x:c r="H9" s="3"/>
      <x:c r="I9" s="3"/>
      <x:c r="J9" s="3"/>
      <x:c r="K9" s="3"/>
      <x:c r="L9" s="3"/>
      <x:c r="M9" s="3"/>
      <x:c r="N9" s="3"/>
      <x:c r="O9" s="3"/>
      <x:c r="P9" s="3"/>
      <x:c r="Q9" s="3"/>
      <x:c r="R9" s="3"/>
    </x:row>
    <x:row r="10" ht="34" customHeight="1">
      <x:c r="A10" s="46" t="str">
        <x:v>User value</x:v>
      </x:c>
      <x:c r="B10" s="46"/>
      <x:c r="C10" s="46"/>
      <x:c r="D10" s="46"/>
      <x:c r="E10" s="46"/>
      <x:c r="F10" s="46"/>
      <x:c r="G10" s="88"/>
      <x:c r="H10" s="3"/>
      <x:c r="I10" s="3"/>
      <x:c r="J10" s="3"/>
      <x:c r="K10" s="3"/>
      <x:c r="L10" s="3"/>
      <x:c r="M10" s="3"/>
      <x:c r="N10" s="3"/>
      <x:c r="O10" s="3"/>
      <x:c r="P10" s="3"/>
      <x:c r="Q10" s="3"/>
      <x:c r="R10" s="3"/>
    </x:row>
    <x:row r="11" ht="34" customHeight="1">
      <x:c r="A11" s="46" t="str">
        <x:v>Process visibility</x:v>
      </x:c>
      <x:c r="B11" s="46"/>
      <x:c r="C11" s="46"/>
      <x:c r="D11" s="46"/>
      <x:c r="E11" s="46"/>
      <x:c r="F11" s="46"/>
      <x:c r="G11" s="88"/>
      <x:c r="H11" s="3"/>
      <x:c r="I11" s="3"/>
      <x:c r="J11" s="3"/>
      <x:c r="K11" s="3"/>
      <x:c r="L11" s="3"/>
      <x:c r="M11" s="3"/>
      <x:c r="N11" s="3"/>
      <x:c r="O11" s="3"/>
      <x:c r="P11" s="3"/>
      <x:c r="Q11" s="3"/>
      <x:c r="R11" s="3"/>
    </x:row>
    <x:row r="12" ht="34" customHeight="1">
      <x:c r="A12" s="46" t="str">
        <x:v>Measurement</x:v>
      </x:c>
      <x:c r="B12" s="46"/>
      <x:c r="C12" s="46"/>
      <x:c r="D12" s="46"/>
      <x:c r="E12" s="46"/>
      <x:c r="F12" s="46"/>
      <x:c r="G12" s="88"/>
      <x:c r="H12" s="3"/>
      <x:c r="I12" s="3"/>
      <x:c r="J12" s="3"/>
      <x:c r="K12" s="3"/>
      <x:c r="L12" s="3"/>
      <x:c r="M12" s="3"/>
      <x:c r="N12" s="3"/>
      <x:c r="O12" s="3"/>
      <x:c r="P12" s="3"/>
      <x:c r="Q12" s="3"/>
      <x:c r="R12" s="3"/>
    </x:row>
    <x:row r="13" ht="34" customHeight="1">
      <x:c r="A13" s="46" t="str">
        <x:v>Testing and learning</x:v>
      </x:c>
      <x:c r="B13" s="46"/>
      <x:c r="C13" s="46"/>
      <x:c r="D13" s="46"/>
      <x:c r="E13" s="46"/>
      <x:c r="F13" s="46"/>
      <x:c r="G13" s="88"/>
      <x:c r="H13" s="3"/>
      <x:c r="I13" s="3"/>
      <x:c r="J13" s="3"/>
      <x:c r="K13" s="3"/>
      <x:c r="L13" s="3"/>
      <x:c r="M13" s="3"/>
      <x:c r="N13" s="3"/>
      <x:c r="O13" s="3"/>
      <x:c r="P13" s="3"/>
      <x:c r="Q13" s="3"/>
      <x:c r="R13" s="3"/>
    </x:row>
    <x:row r="14" ht="34" customHeight="1">
      <x:c r="A14" s="46" t="str">
        <x:v>Daily management</x:v>
      </x:c>
      <x:c r="B14" s="46"/>
      <x:c r="C14" s="46"/>
      <x:c r="D14" s="46"/>
      <x:c r="E14" s="46"/>
      <x:c r="F14" s="46"/>
      <x:c r="G14" s="88"/>
      <x:c r="H14" s="3"/>
      <x:c r="I14" s="3"/>
      <x:c r="J14" s="3"/>
      <x:c r="K14" s="3"/>
      <x:c r="L14" s="3"/>
      <x:c r="M14" s="3"/>
      <x:c r="N14" s="3"/>
      <x:c r="O14" s="3"/>
      <x:c r="P14" s="3"/>
      <x:c r="Q14" s="3"/>
      <x:c r="R14" s="3"/>
    </x:row>
    <x:row r="15" ht="34" customHeight="1">
      <x:c r="A15" s="46" t="str">
        <x:v>Capability and respect</x:v>
      </x:c>
      <x:c r="B15" s="46"/>
      <x:c r="C15" s="46"/>
      <x:c r="D15" s="46"/>
      <x:c r="E15" s="46"/>
      <x:c r="F15" s="46"/>
      <x:c r="G15" s="88"/>
      <x:c r="H15" s="3"/>
      <x:c r="I15" s="3"/>
      <x:c r="J15" s="3"/>
      <x:c r="K15" s="3"/>
      <x:c r="L15" s="3"/>
      <x:c r="M15" s="3"/>
      <x:c r="N15" s="3"/>
      <x:c r="O15" s="3"/>
      <x:c r="P15" s="3"/>
      <x:c r="Q15" s="3"/>
      <x:c r="R15" s="3"/>
    </x:row>
    <x:row r="16" ht="20" customHeight="1">
      <x:c r="A16" s="3"/>
      <x:c r="B16" s="3"/>
      <x:c r="C16" s="3"/>
      <x:c r="D16" s="3"/>
      <x:c r="E16" s="3"/>
      <x:c r="F16" s="3"/>
      <x:c r="G16" s="3"/>
      <x:c r="H16" s="3"/>
      <x:c r="I16" s="3"/>
      <x:c r="J16" s="3"/>
      <x:c r="K16" s="3"/>
      <x:c r="L16" s="3"/>
      <x:c r="M16" s="3"/>
      <x:c r="N16" s="3"/>
      <x:c r="O16" s="3"/>
      <x:c r="P16" s="3"/>
      <x:c r="Q16" s="3"/>
      <x:c r="R16" s="3"/>
    </x:row>
    <x:row r="17" ht="20" customHeight="1">
      <x:c r="A17" s="3"/>
      <x:c r="B17" s="3"/>
      <x:c r="C17" s="3"/>
      <x:c r="D17" s="3"/>
      <x:c r="E17" s="3"/>
      <x:c r="F17" s="3"/>
      <x:c r="G17" s="3"/>
      <x:c r="H17" s="3"/>
      <x:c r="I17" s="3"/>
      <x:c r="J17" s="3"/>
      <x:c r="K17" s="3"/>
      <x:c r="L17" s="3"/>
      <x:c r="M17" s="3"/>
      <x:c r="N17" s="3"/>
      <x:c r="O17" s="3"/>
      <x:c r="P17" s="3"/>
      <x:c r="Q17" s="3"/>
      <x:c r="R17" s="3"/>
    </x:row>
    <x:row r="18" ht="20" customHeight="1">
      <x:c r="A18" s="3"/>
      <x:c r="B18" s="3"/>
      <x:c r="C18" s="3"/>
      <x:c r="D18" s="3"/>
      <x:c r="E18" s="3"/>
      <x:c r="F18" s="3"/>
      <x:c r="G18" s="3"/>
      <x:c r="H18" s="3"/>
      <x:c r="I18" s="3"/>
      <x:c r="J18" s="3"/>
      <x:c r="K18" s="3"/>
      <x:c r="L18" s="3"/>
      <x:c r="M18" s="3"/>
      <x:c r="N18" s="3"/>
      <x:c r="O18" s="3"/>
      <x:c r="P18" s="3"/>
      <x:c r="Q18" s="3"/>
      <x:c r="R18" s="3"/>
    </x:row>
    <x:row r="19" ht="20" customHeight="1">
      <x:c r="A19" s="104" t="str">
        <x:v>DEVELOPMENTAL ONLY. No overall maturity score, norms or psychometric validity are claimed. Choose the lowest level fully supported by the observable criteria, retain unknowns and contrary evidence, and agree a practical next-level action. See the three detailed rubric pages in the manual.</x:v>
      </x:c>
      <x:c r="B19" s="104"/>
      <x:c r="C19" s="104"/>
      <x:c r="D19" s="104"/>
      <x:c r="E19" s="104"/>
      <x:c r="F19" s="104"/>
      <x:c r="G19" s="104"/>
      <x:c r="H19" s="104"/>
      <x:c r="I19" s="104"/>
      <x:c r="J19" s="104"/>
      <x:c r="K19" s="104"/>
      <x:c r="L19" s="104"/>
      <x:c r="M19" s="3"/>
      <x:c r="N19" s="3"/>
      <x:c r="O19" s="3"/>
      <x:c r="P19" s="3"/>
      <x:c r="Q19" s="3"/>
      <x:c r="R19" s="3"/>
    </x:row>
    <x:row r="20" ht="20" customHeight="1">
      <x:c r="A20" s="104"/>
      <x:c r="B20" s="104"/>
      <x:c r="C20" s="104"/>
      <x:c r="D20" s="104"/>
      <x:c r="E20" s="104"/>
      <x:c r="F20" s="104"/>
      <x:c r="G20" s="104"/>
      <x:c r="H20" s="104"/>
      <x:c r="I20" s="104"/>
      <x:c r="J20" s="104"/>
      <x:c r="K20" s="104"/>
      <x:c r="L20" s="104"/>
      <x:c r="M20" s="3"/>
      <x:c r="N20" s="3"/>
      <x:c r="O20" s="3"/>
      <x:c r="P20" s="3"/>
      <x:c r="Q20" s="3"/>
      <x:c r="R20" s="3"/>
    </x:row>
    <x:row r="21" ht="20" customHeight="1">
      <x:c r="A21" s="104"/>
      <x:c r="B21" s="104"/>
      <x:c r="C21" s="104"/>
      <x:c r="D21" s="104"/>
      <x:c r="E21" s="104"/>
      <x:c r="F21" s="104"/>
      <x:c r="G21" s="104"/>
      <x:c r="H21" s="104"/>
      <x:c r="I21" s="104"/>
      <x:c r="J21" s="104"/>
      <x:c r="K21" s="104"/>
      <x:c r="L21" s="104"/>
      <x:c r="M21" s="3"/>
      <x:c r="N21" s="3"/>
      <x:c r="O21" s="3"/>
      <x:c r="P21" s="3"/>
      <x:c r="Q21" s="3"/>
      <x:c r="R21" s="3"/>
    </x:row>
    <x:row r="22" ht="20" customHeight="1">
      <x:c r="A22" s="104"/>
      <x:c r="B22" s="104"/>
      <x:c r="C22" s="104"/>
      <x:c r="D22" s="104"/>
      <x:c r="E22" s="104"/>
      <x:c r="F22" s="104"/>
      <x:c r="G22" s="104"/>
      <x:c r="H22" s="104"/>
      <x:c r="I22" s="104"/>
      <x:c r="J22" s="104"/>
      <x:c r="K22" s="104"/>
      <x:c r="L22" s="104"/>
      <x:c r="M22" s="3"/>
      <x:c r="N22" s="3"/>
      <x:c r="O22" s="3"/>
      <x:c r="P22" s="3"/>
      <x:c r="Q22" s="3"/>
      <x:c r="R22" s="3"/>
    </x:row>
    <x:row r="23" ht="20" customHeight="1">
      <x:c r="A23" s="104"/>
      <x:c r="B23" s="104"/>
      <x:c r="C23" s="104"/>
      <x:c r="D23" s="104"/>
      <x:c r="E23" s="104"/>
      <x:c r="F23" s="104"/>
      <x:c r="G23" s="104"/>
      <x:c r="H23" s="104"/>
      <x:c r="I23" s="104"/>
      <x:c r="J23" s="104"/>
      <x:c r="K23" s="104"/>
      <x:c r="L23" s="104"/>
      <x:c r="M23" s="3"/>
      <x:c r="N23" s="3"/>
      <x:c r="O23" s="3"/>
      <x:c r="P23" s="3"/>
      <x:c r="Q23" s="3"/>
      <x:c r="R23" s="3"/>
    </x:row>
    <x:row r="24" ht="20" customHeight="1">
      <x:c r="A24" s="104"/>
      <x:c r="B24" s="104"/>
      <x:c r="C24" s="104"/>
      <x:c r="D24" s="104"/>
      <x:c r="E24" s="104"/>
      <x:c r="F24" s="104"/>
      <x:c r="G24" s="104"/>
      <x:c r="H24" s="104"/>
      <x:c r="I24" s="104"/>
      <x:c r="J24" s="104"/>
      <x:c r="K24" s="104"/>
      <x:c r="L24" s="104"/>
      <x:c r="M24" s="3"/>
      <x:c r="N24" s="3"/>
      <x:c r="O24" s="3"/>
      <x:c r="P24" s="3"/>
      <x:c r="Q24" s="3"/>
      <x:c r="R24" s="3"/>
    </x:row>
    <x:row r="25" ht="20" customHeight="1">
      <x:c r="A25" s="3"/>
      <x:c r="B25" s="3"/>
      <x:c r="C25" s="3"/>
      <x:c r="D25" s="3"/>
      <x:c r="E25" s="3"/>
      <x:c r="F25" s="3"/>
      <x:c r="G25" s="3"/>
      <x:c r="H25" s="3"/>
      <x:c r="I25" s="3"/>
      <x:c r="J25" s="3"/>
      <x:c r="K25" s="3"/>
      <x:c r="L25" s="3"/>
      <x:c r="M25" s="3"/>
      <x:c r="N25" s="3"/>
      <x:c r="O25" s="3"/>
      <x:c r="P25" s="3"/>
      <x:c r="Q25" s="3"/>
      <x:c r="R25" s="3"/>
    </x:row>
    <x:row r="26" ht="20" customHeight="1">
      <x:c r="A26" s="3"/>
      <x:c r="B26" s="3"/>
      <x:c r="C26" s="3"/>
      <x:c r="D26" s="3"/>
      <x:c r="E26" s="3"/>
      <x:c r="F26" s="3"/>
      <x:c r="G26" s="3"/>
      <x:c r="H26" s="3"/>
      <x:c r="I26" s="3"/>
      <x:c r="J26" s="3"/>
      <x:c r="K26" s="3"/>
      <x:c r="L26" s="3"/>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3"/>
      <x:c r="B28" s="3"/>
      <x:c r="C28" s="3"/>
      <x:c r="D28" s="3"/>
      <x:c r="E28" s="3"/>
      <x:c r="F28" s="3"/>
      <x:c r="G28" s="3"/>
      <x:c r="H28" s="3"/>
      <x:c r="I28" s="3"/>
      <x:c r="J28" s="3"/>
      <x:c r="K28" s="3"/>
      <x:c r="L28" s="3"/>
      <x:c r="M28" s="3"/>
      <x:c r="N28" s="3"/>
      <x:c r="O28" s="3"/>
      <x:c r="P28" s="3"/>
      <x:c r="Q28" s="3"/>
      <x:c r="R28" s="3"/>
    </x:row>
    <x:row r="29" ht="20" customHeight="1">
      <x:c r="A29" s="3"/>
      <x:c r="B29" s="3"/>
      <x:c r="C29" s="3"/>
      <x:c r="D29" s="3"/>
      <x:c r="E29" s="3"/>
      <x:c r="F29" s="3"/>
      <x:c r="G29" s="3"/>
      <x:c r="H29" s="3"/>
      <x:c r="I29" s="3"/>
      <x:c r="J29" s="3"/>
      <x:c r="K29" s="3"/>
      <x:c r="L29" s="3"/>
      <x:c r="M29" s="3"/>
      <x:c r="N29" s="3"/>
      <x:c r="O29" s="3"/>
      <x:c r="P29" s="3"/>
      <x:c r="Q29" s="3"/>
      <x:c r="R29" s="3"/>
    </x:row>
    <x:row r="30" ht="20" customHeight="1">
      <x:c r="A30" s="3"/>
      <x:c r="B30" s="3"/>
      <x:c r="C30" s="3"/>
      <x:c r="D30" s="3"/>
      <x:c r="E30" s="3"/>
      <x:c r="F30" s="3"/>
      <x:c r="G30" s="3"/>
      <x:c r="H30" s="3"/>
      <x:c r="I30" s="3"/>
      <x:c r="J30" s="3"/>
      <x:c r="K30" s="3"/>
      <x:c r="L30" s="3"/>
      <x:c r="M30" s="3"/>
      <x:c r="N30" s="3"/>
      <x:c r="O30" s="3"/>
      <x:c r="P30" s="3"/>
      <x:c r="Q30" s="3"/>
      <x:c r="R30" s="3"/>
    </x:row>
    <x:row r="31" ht="20" customHeight="1">
      <x:c r="A31" s="3"/>
      <x:c r="B31" s="3"/>
      <x:c r="C31" s="3"/>
      <x:c r="D31" s="3"/>
      <x:c r="E31" s="3"/>
      <x:c r="F31" s="3"/>
      <x:c r="G31" s="3"/>
      <x:c r="H31" s="3"/>
      <x:c r="I31" s="3"/>
      <x:c r="J31" s="3"/>
      <x:c r="K31" s="3"/>
      <x:c r="L31" s="3"/>
      <x:c r="M31" s="3"/>
      <x:c r="N31" s="3"/>
      <x:c r="O31" s="3"/>
      <x:c r="P31" s="3"/>
      <x:c r="Q31" s="3"/>
      <x:c r="R31" s="3"/>
    </x:row>
    <x:row r="32" ht="20" customHeight="1">
      <x:c r="A32" s="3"/>
      <x:c r="B32" s="3"/>
      <x:c r="C32" s="3"/>
      <x:c r="D32" s="3"/>
      <x:c r="E32" s="3"/>
      <x:c r="F32" s="3"/>
      <x:c r="G32" s="3"/>
      <x:c r="H32" s="3"/>
      <x:c r="I32" s="3"/>
      <x:c r="J32" s="3"/>
      <x:c r="K32" s="3"/>
      <x:c r="L32" s="3"/>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3"/>
      <x:c r="B34" s="3"/>
      <x:c r="C34" s="3"/>
      <x:c r="D34" s="3"/>
      <x:c r="E34" s="3"/>
      <x:c r="F34" s="3"/>
      <x:c r="G34" s="3"/>
      <x:c r="H34" s="3"/>
      <x:c r="I34" s="3"/>
      <x:c r="J34" s="3"/>
      <x:c r="K34" s="3"/>
      <x:c r="L34" s="3"/>
      <x:c r="M34" s="3"/>
      <x:c r="N34" s="3"/>
      <x:c r="O34" s="3"/>
      <x:c r="P34" s="3"/>
      <x:c r="Q34" s="3"/>
      <x:c r="R34" s="3"/>
    </x:row>
    <x:row r="35" ht="20" customHeight="1">
      <x:c r="A35" s="3"/>
      <x:c r="B35" s="3"/>
      <x:c r="C35" s="3"/>
      <x:c r="D35" s="3"/>
      <x:c r="E35" s="3"/>
      <x:c r="F35" s="3"/>
      <x:c r="G35" s="3"/>
      <x:c r="H35" s="3"/>
      <x:c r="I35" s="3"/>
      <x:c r="J35" s="3"/>
      <x:c r="K35" s="3"/>
      <x:c r="L35" s="3"/>
      <x:c r="M35" s="3"/>
      <x:c r="N35" s="3"/>
      <x:c r="O35" s="3"/>
      <x:c r="P35" s="3"/>
      <x:c r="Q35" s="3"/>
      <x:c r="R35" s="3"/>
    </x:row>
    <x:row r="36" ht="20" customHeight="1">
      <x:c r="A36" s="3"/>
      <x:c r="B36" s="3"/>
      <x:c r="C36" s="3"/>
      <x:c r="D36" s="3"/>
      <x:c r="E36" s="3"/>
      <x:c r="F36" s="3"/>
      <x:c r="G36" s="3"/>
      <x:c r="H36" s="3"/>
      <x:c r="I36" s="3"/>
      <x:c r="J36" s="3"/>
      <x:c r="K36" s="3"/>
      <x:c r="L36" s="3"/>
      <x:c r="M36" s="3"/>
      <x:c r="N36" s="3"/>
      <x:c r="O36" s="3"/>
      <x:c r="P36" s="3"/>
      <x:c r="Q36" s="3"/>
      <x:c r="R36" s="3"/>
    </x:row>
    <x:row r="37" ht="20" customHeight="1">
      <x:c r="A37" s="3"/>
      <x:c r="B37" s="3"/>
      <x:c r="C37" s="3"/>
      <x:c r="D37" s="3"/>
      <x:c r="E37" s="3"/>
      <x:c r="F37" s="3"/>
      <x:c r="G37" s="3"/>
      <x:c r="H37" s="3"/>
      <x:c r="I37" s="3"/>
      <x:c r="J37" s="3"/>
      <x:c r="K37" s="3"/>
      <x:c r="L37" s="3"/>
      <x:c r="M37" s="3"/>
      <x:c r="N37" s="3"/>
      <x:c r="O37" s="3"/>
      <x:c r="P37" s="3"/>
      <x:c r="Q37" s="3"/>
      <x:c r="R37" s="3"/>
    </x:row>
    <x:row r="38" ht="20" customHeight="1">
      <x:c r="A38" s="3"/>
      <x:c r="B38" s="3"/>
      <x:c r="C38" s="3"/>
      <x:c r="D38" s="3"/>
      <x:c r="E38" s="3"/>
      <x:c r="F38" s="3"/>
      <x:c r="G38" s="3"/>
      <x:c r="H38" s="3"/>
      <x:c r="I38" s="3"/>
      <x:c r="J38" s="3"/>
      <x:c r="K38" s="3"/>
      <x:c r="L38" s="3"/>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20" customHeight="1">
      <x:c r="A42" s="3"/>
      <x:c r="B42" s="3"/>
      <x:c r="C42" s="3"/>
      <x:c r="D42" s="3"/>
      <x:c r="E42" s="3"/>
      <x:c r="F42" s="3"/>
      <x:c r="G42" s="3"/>
      <x:c r="H42" s="3"/>
      <x:c r="I42" s="3"/>
      <x:c r="J42" s="3"/>
      <x:c r="K42" s="3"/>
      <x:c r="L42" s="3"/>
      <x:c r="M42" s="3"/>
      <x:c r="N42" s="3"/>
      <x:c r="O42" s="3"/>
      <x:c r="P42" s="3"/>
      <x:c r="Q42" s="3"/>
      <x:c r="R42" s="3"/>
    </x:row>
    <x:row r="43" ht="20" customHeight="1">
      <x:c r="A43" s="3"/>
      <x:c r="B43" s="3"/>
      <x:c r="C43" s="3"/>
      <x:c r="D43" s="3"/>
      <x:c r="E43" s="3"/>
      <x:c r="F43" s="3"/>
      <x:c r="G43" s="3"/>
      <x:c r="H43" s="3"/>
      <x:c r="I43" s="3"/>
      <x:c r="J43" s="3"/>
      <x:c r="K43" s="3"/>
      <x:c r="L43" s="3"/>
      <x:c r="M43" s="3"/>
      <x:c r="N43" s="3"/>
      <x:c r="O43" s="3"/>
      <x:c r="P43" s="3"/>
      <x:c r="Q43" s="3"/>
      <x:c r="R43" s="3"/>
    </x:row>
    <x:row r="44" ht="20" customHeight="1">
      <x:c r="A44" s="3"/>
      <x:c r="B44" s="3"/>
      <x:c r="C44" s="3"/>
      <x:c r="D44" s="3"/>
      <x:c r="E44" s="3"/>
      <x:c r="F44" s="3"/>
      <x:c r="G44" s="3"/>
      <x:c r="H44" s="3"/>
      <x:c r="I44" s="3"/>
      <x:c r="J44" s="3"/>
      <x:c r="K44" s="3"/>
      <x:c r="L44" s="3"/>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3"/>
      <x:c r="B47" s="3"/>
      <x:c r="C47" s="3"/>
      <x:c r="D47" s="3"/>
      <x:c r="E47" s="3"/>
      <x:c r="F47" s="3"/>
      <x:c r="G47" s="3"/>
      <x:c r="H47" s="3"/>
      <x:c r="I47" s="3"/>
      <x:c r="J47" s="3"/>
      <x:c r="K47" s="3"/>
      <x:c r="L47" s="3"/>
      <x:c r="M47" s="3"/>
      <x:c r="N47" s="3"/>
      <x:c r="O47" s="3"/>
      <x:c r="P47" s="3"/>
      <x:c r="Q47" s="3"/>
      <x:c r="R47" s="3"/>
    </x:row>
    <x:row r="48" ht="20" customHeight="1">
      <x:c r="A48" s="3"/>
      <x:c r="B48" s="3"/>
      <x:c r="C48" s="3"/>
      <x:c r="D48" s="3"/>
      <x:c r="E48" s="3"/>
      <x:c r="F48" s="3"/>
      <x:c r="G48" s="3"/>
      <x:c r="H48" s="3"/>
      <x:c r="I48" s="3"/>
      <x:c r="J48" s="3"/>
      <x:c r="K48" s="3"/>
      <x:c r="L48" s="3"/>
      <x:c r="M48" s="3"/>
      <x:c r="N48" s="3"/>
      <x:c r="O48" s="3"/>
      <x:c r="P48" s="3"/>
      <x:c r="Q48" s="3"/>
      <x:c r="R48" s="3"/>
    </x:row>
    <x:row r="49" ht="20" customHeight="1">
      <x:c r="A49" s="3"/>
      <x:c r="B49" s="3"/>
      <x:c r="C49" s="3"/>
      <x:c r="D49" s="3"/>
      <x:c r="E49" s="3"/>
      <x:c r="F49" s="3"/>
      <x:c r="G49" s="3"/>
      <x:c r="H49" s="3"/>
      <x:c r="I49" s="3"/>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122" t="str">
        <x:v>OBSERVABLE CRITERIA | Developmental rubric, not a validated assessment or certification.</x:v>
      </x:c>
      <x:c r="B54" s="122"/>
      <x:c r="C54" s="122"/>
      <x:c r="D54" s="122"/>
      <x:c r="E54" s="122"/>
      <x:c r="F54" s="122"/>
      <x:c r="G54" s="122"/>
      <x:c r="H54" s="122"/>
      <x:c r="I54" s="122"/>
      <x:c r="J54" s="122"/>
      <x:c r="K54" s="122"/>
      <x:c r="L54" s="122"/>
      <x:c r="M54" s="3"/>
      <x:c r="N54" s="3"/>
      <x:c r="O54" s="3"/>
      <x:c r="P54" s="3"/>
      <x:c r="Q54" s="3"/>
      <x:c r="R54" s="3"/>
    </x:row>
    <x:row r="55" ht="20" customHeight="1">
      <x:c r="A55" s="122"/>
      <x:c r="B55" s="122"/>
      <x:c r="C55" s="122"/>
      <x:c r="D55" s="122"/>
      <x:c r="E55" s="122"/>
      <x:c r="F55" s="122"/>
      <x:c r="G55" s="122"/>
      <x:c r="H55" s="122"/>
      <x:c r="I55" s="122"/>
      <x:c r="J55" s="122"/>
      <x:c r="K55" s="122"/>
      <x:c r="L55" s="122"/>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122" t="str">
        <x:v>User value</x:v>
      </x:c>
      <x:c r="B57" s="122"/>
      <x:c r="C57" s="122"/>
      <x:c r="D57" s="122"/>
      <x:c r="E57" s="122"/>
      <x:c r="F57" s="122"/>
      <x:c r="G57" s="122"/>
      <x:c r="H57" s="122"/>
      <x:c r="I57" s="122"/>
      <x:c r="J57" s="122"/>
      <x:c r="K57" s="122"/>
      <x:c r="L57" s="122"/>
      <x:c r="M57" s="3"/>
      <x:c r="N57" s="3"/>
      <x:c r="O57" s="3"/>
      <x:c r="P57" s="3"/>
      <x:c r="Q57" s="3"/>
      <x:c r="R57" s="3"/>
    </x:row>
    <x:row r="58" ht="20" customHeight="1">
      <x:c r="A58" s="122"/>
      <x:c r="B58" s="122"/>
      <x:c r="C58" s="122"/>
      <x:c r="D58" s="122"/>
      <x:c r="E58" s="122"/>
      <x:c r="F58" s="122"/>
      <x:c r="G58" s="122"/>
      <x:c r="H58" s="122"/>
      <x:c r="I58" s="122"/>
      <x:c r="J58" s="122"/>
      <x:c r="K58" s="122"/>
      <x:c r="L58" s="122"/>
      <x:c r="M58" s="3"/>
      <x:c r="N58" s="3"/>
      <x:c r="O58" s="3"/>
      <x:c r="P58" s="3"/>
      <x:c r="Q58" s="3"/>
      <x:c r="R58" s="3"/>
    </x:row>
    <x:row r="59" ht="22" customHeight="1">
      <x:c r="A59" s="136" t="str">
        <x:v>Reactive: complaints are handled individually and value is assumed.</x:v>
      </x:c>
      <x:c r="B59" s="136"/>
      <x:c r="C59" s="136"/>
      <x:c r="D59" s="136"/>
      <x:c r="E59" s="136"/>
      <x:c r="F59" s="136"/>
      <x:c r="G59" s="136"/>
      <x:c r="H59" s="136"/>
      <x:c r="I59" s="136"/>
      <x:c r="J59" s="136"/>
      <x:c r="K59" s="136"/>
      <x:c r="L59" s="136"/>
      <x:c r="M59" s="3"/>
      <x:c r="N59" s="3"/>
      <x:c r="O59" s="3"/>
      <x:c r="P59" s="3"/>
      <x:c r="Q59" s="3"/>
      <x:c r="R59" s="3"/>
    </x:row>
    <x:row r="60" ht="22" customHeight="1">
      <x:c r="A60" s="136"/>
      <x:c r="B60" s="136"/>
      <x:c r="C60" s="136"/>
      <x:c r="D60" s="136"/>
      <x:c r="E60" s="136"/>
      <x:c r="F60" s="136"/>
      <x:c r="G60" s="136"/>
      <x:c r="H60" s="136"/>
      <x:c r="I60" s="136"/>
      <x:c r="J60" s="136"/>
      <x:c r="K60" s="136"/>
      <x:c r="L60" s="136"/>
      <x:c r="M60" s="3"/>
      <x:c r="N60" s="3"/>
      <x:c r="O60" s="3"/>
      <x:c r="P60" s="3"/>
      <x:c r="Q60" s="3"/>
      <x:c r="R60" s="3"/>
    </x:row>
    <x:row r="61" ht="22" customHeight="1">
      <x:c r="A61" s="136" t="str">
        <x:v>Defined: user groups, needs and critical requirements are documented.</x:v>
      </x:c>
      <x:c r="B61" s="136"/>
      <x:c r="C61" s="136"/>
      <x:c r="D61" s="136"/>
      <x:c r="E61" s="136"/>
      <x:c r="F61" s="136"/>
      <x:c r="G61" s="136"/>
      <x:c r="H61" s="136"/>
      <x:c r="I61" s="136"/>
      <x:c r="J61" s="136"/>
      <x:c r="K61" s="136"/>
      <x:c r="L61" s="136"/>
      <x:c r="M61" s="3"/>
      <x:c r="N61" s="3"/>
      <x:c r="O61" s="3"/>
      <x:c r="P61" s="3"/>
      <x:c r="Q61" s="3"/>
      <x:c r="R61" s="3"/>
    </x:row>
    <x:row r="62" ht="22" customHeight="1">
      <x:c r="A62" s="136"/>
      <x:c r="B62" s="136"/>
      <x:c r="C62" s="136"/>
      <x:c r="D62" s="136"/>
      <x:c r="E62" s="136"/>
      <x:c r="F62" s="136"/>
      <x:c r="G62" s="136"/>
      <x:c r="H62" s="136"/>
      <x:c r="I62" s="136"/>
      <x:c r="J62" s="136"/>
      <x:c r="K62" s="136"/>
      <x:c r="L62" s="136"/>
      <x:c r="M62" s="3"/>
      <x:c r="N62" s="3"/>
      <x:c r="O62" s="3"/>
      <x:c r="P62" s="3"/>
      <x:c r="Q62" s="3"/>
      <x:c r="R62" s="3"/>
    </x:row>
    <x:row r="63" ht="22" customHeight="1">
      <x:c r="A63" s="136" t="str">
        <x:v>Practised: varied users inform tests and balancing measures; feedback changes decisions.</x:v>
      </x:c>
      <x:c r="B63" s="136"/>
      <x:c r="C63" s="136"/>
      <x:c r="D63" s="136"/>
      <x:c r="E63" s="136"/>
      <x:c r="F63" s="136"/>
      <x:c r="G63" s="136"/>
      <x:c r="H63" s="136"/>
      <x:c r="I63" s="136"/>
      <x:c r="J63" s="136"/>
      <x:c r="K63" s="136"/>
      <x:c r="L63" s="136"/>
      <x:c r="M63" s="3"/>
      <x:c r="N63" s="3"/>
      <x:c r="O63" s="3"/>
      <x:c r="P63" s="3"/>
      <x:c r="Q63" s="3"/>
      <x:c r="R63" s="3"/>
    </x:row>
    <x:row r="64" ht="22" customHeight="1">
      <x:c r="A64" s="136"/>
      <x:c r="B64" s="136"/>
      <x:c r="C64" s="136"/>
      <x:c r="D64" s="136"/>
      <x:c r="E64" s="136"/>
      <x:c r="F64" s="136"/>
      <x:c r="G64" s="136"/>
      <x:c r="H64" s="136"/>
      <x:c r="I64" s="136"/>
      <x:c r="J64" s="136"/>
      <x:c r="K64" s="136"/>
      <x:c r="L64" s="136"/>
      <x:c r="M64" s="3"/>
      <x:c r="N64" s="3"/>
      <x:c r="O64" s="3"/>
      <x:c r="P64" s="3"/>
      <x:c r="Q64" s="3"/>
      <x:c r="R64" s="3"/>
    </x:row>
    <x:row r="65" ht="22" customHeight="1">
      <x:c r="A65" s="136" t="str">
        <x:v>Embedded: value is revisited as needs change, with sustained evidence of access and useful outcomes.</x:v>
      </x:c>
      <x:c r="B65" s="136"/>
      <x:c r="C65" s="136"/>
      <x:c r="D65" s="136"/>
      <x:c r="E65" s="136"/>
      <x:c r="F65" s="136"/>
      <x:c r="G65" s="136"/>
      <x:c r="H65" s="136"/>
      <x:c r="I65" s="136"/>
      <x:c r="J65" s="136"/>
      <x:c r="K65" s="136"/>
      <x:c r="L65" s="136"/>
      <x:c r="M65" s="3"/>
      <x:c r="N65" s="3"/>
      <x:c r="O65" s="3"/>
      <x:c r="P65" s="3"/>
      <x:c r="Q65" s="3"/>
      <x:c r="R65" s="3"/>
    </x:row>
    <x:row r="66" ht="22" customHeight="1">
      <x:c r="A66" s="136"/>
      <x:c r="B66" s="136"/>
      <x:c r="C66" s="136"/>
      <x:c r="D66" s="136"/>
      <x:c r="E66" s="136"/>
      <x:c r="F66" s="136"/>
      <x:c r="G66" s="136"/>
      <x:c r="H66" s="136"/>
      <x:c r="I66" s="136"/>
      <x:c r="J66" s="136"/>
      <x:c r="K66" s="136"/>
      <x:c r="L66" s="136"/>
      <x:c r="M66" s="3"/>
      <x:c r="N66" s="3"/>
      <x:c r="O66" s="3"/>
      <x:c r="P66" s="3"/>
      <x:c r="Q66" s="3"/>
      <x:c r="R66" s="3"/>
    </x:row>
    <x:row r="67" ht="22" customHeight="1">
      <x:c r="A67" s="150" t="str">
        <x:v>Reactive to Defined: map user groups and interview recent service users. Defined to Practised: include a user requirement and access measure in each relevant test. Practised to Embedded: review changing needs and underserved groups with the process owner.</x:v>
      </x:c>
      <x:c r="B67" s="150"/>
      <x:c r="C67" s="150"/>
      <x:c r="D67" s="150"/>
      <x:c r="E67" s="150"/>
      <x:c r="F67" s="150"/>
      <x:c r="G67" s="150"/>
      <x:c r="H67" s="150"/>
      <x:c r="I67" s="150"/>
      <x:c r="J67" s="150"/>
      <x:c r="K67" s="150"/>
      <x:c r="L67" s="150"/>
      <x:c r="M67" s="3"/>
      <x:c r="N67" s="3"/>
      <x:c r="O67" s="3"/>
      <x:c r="P67" s="3"/>
      <x:c r="Q67" s="3"/>
      <x:c r="R67" s="3"/>
    </x:row>
    <x:row r="68" ht="22" customHeight="1">
      <x:c r="A68" s="150"/>
      <x:c r="B68" s="150"/>
      <x:c r="C68" s="150"/>
      <x:c r="D68" s="150"/>
      <x:c r="E68" s="150"/>
      <x:c r="F68" s="150"/>
      <x:c r="G68" s="150"/>
      <x:c r="H68" s="150"/>
      <x:c r="I68" s="150"/>
      <x:c r="J68" s="150"/>
      <x:c r="K68" s="150"/>
      <x:c r="L68" s="150"/>
      <x:c r="M68" s="3"/>
      <x:c r="N68" s="3"/>
      <x:c r="O68" s="3"/>
      <x:c r="P68" s="3"/>
      <x:c r="Q68" s="3"/>
      <x:c r="R68" s="3"/>
    </x:row>
    <x:row r="69" ht="22" customHeight="1">
      <x:c r="A69" s="150"/>
      <x:c r="B69" s="150"/>
      <x:c r="C69" s="150"/>
      <x:c r="D69" s="150"/>
      <x:c r="E69" s="150"/>
      <x:c r="F69" s="150"/>
      <x:c r="G69" s="150"/>
      <x:c r="H69" s="150"/>
      <x:c r="I69" s="150"/>
      <x:c r="J69" s="150"/>
      <x:c r="K69" s="150"/>
      <x:c r="L69" s="150"/>
      <x:c r="M69" s="3"/>
      <x:c r="N69" s="3"/>
      <x:c r="O69" s="3"/>
      <x:c r="P69" s="3"/>
      <x:c r="Q69" s="3"/>
      <x:c r="R69" s="3"/>
    </x:row>
    <x:row r="70" ht="22" customHeight="1">
      <x:c r="A70" s="150"/>
      <x:c r="B70" s="150"/>
      <x:c r="C70" s="150"/>
      <x:c r="D70" s="150"/>
      <x:c r="E70" s="150"/>
      <x:c r="F70" s="150"/>
      <x:c r="G70" s="150"/>
      <x:c r="H70" s="150"/>
      <x:c r="I70" s="150"/>
      <x:c r="J70" s="150"/>
      <x:c r="K70" s="150"/>
      <x:c r="L70" s="150"/>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122" t="str">
        <x:v>Process visibility</x:v>
      </x:c>
      <x:c r="B72" s="122"/>
      <x:c r="C72" s="122"/>
      <x:c r="D72" s="122"/>
      <x:c r="E72" s="122"/>
      <x:c r="F72" s="122"/>
      <x:c r="G72" s="122"/>
      <x:c r="H72" s="122"/>
      <x:c r="I72" s="122"/>
      <x:c r="J72" s="122"/>
      <x:c r="K72" s="122"/>
      <x:c r="L72" s="122"/>
      <x:c r="M72" s="3"/>
      <x:c r="N72" s="3"/>
      <x:c r="O72" s="3"/>
      <x:c r="P72" s="3"/>
      <x:c r="Q72" s="3"/>
      <x:c r="R72" s="3"/>
    </x:row>
    <x:row r="73" ht="20" customHeight="1">
      <x:c r="A73" s="122"/>
      <x:c r="B73" s="122"/>
      <x:c r="C73" s="122"/>
      <x:c r="D73" s="122"/>
      <x:c r="E73" s="122"/>
      <x:c r="F73" s="122"/>
      <x:c r="G73" s="122"/>
      <x:c r="H73" s="122"/>
      <x:c r="I73" s="122"/>
      <x:c r="J73" s="122"/>
      <x:c r="K73" s="122"/>
      <x:c r="L73" s="122"/>
      <x:c r="M73" s="3"/>
      <x:c r="N73" s="3"/>
      <x:c r="O73" s="3"/>
      <x:c r="P73" s="3"/>
      <x:c r="Q73" s="3"/>
      <x:c r="R73" s="3"/>
    </x:row>
    <x:row r="74" ht="22" customHeight="1">
      <x:c r="A74" s="136" t="str">
        <x:v>Reactive: work depends on personal knowledge and hidden queues.</x:v>
      </x:c>
      <x:c r="B74" s="136"/>
      <x:c r="C74" s="136"/>
      <x:c r="D74" s="136"/>
      <x:c r="E74" s="136"/>
      <x:c r="F74" s="136"/>
      <x:c r="G74" s="136"/>
      <x:c r="H74" s="136"/>
      <x:c r="I74" s="136"/>
      <x:c r="J74" s="136"/>
      <x:c r="K74" s="136"/>
      <x:c r="L74" s="136"/>
      <x:c r="M74" s="3"/>
      <x:c r="N74" s="3"/>
      <x:c r="O74" s="3"/>
      <x:c r="P74" s="3"/>
      <x:c r="Q74" s="3"/>
      <x:c r="R74" s="3"/>
    </x:row>
    <x:row r="75" ht="22" customHeight="1">
      <x:c r="A75" s="136"/>
      <x:c r="B75" s="136"/>
      <x:c r="C75" s="136"/>
      <x:c r="D75" s="136"/>
      <x:c r="E75" s="136"/>
      <x:c r="F75" s="136"/>
      <x:c r="G75" s="136"/>
      <x:c r="H75" s="136"/>
      <x:c r="I75" s="136"/>
      <x:c r="J75" s="136"/>
      <x:c r="K75" s="136"/>
      <x:c r="L75" s="136"/>
      <x:c r="M75" s="3"/>
      <x:c r="N75" s="3"/>
      <x:c r="O75" s="3"/>
      <x:c r="P75" s="3"/>
      <x:c r="Q75" s="3"/>
      <x:c r="R75" s="3"/>
    </x:row>
    <x:row r="76" ht="22" customHeight="1">
      <x:c r="A76" s="136" t="str">
        <x:v>Defined: the family, boundary, current route and owner are documented.</x:v>
      </x:c>
      <x:c r="B76" s="136"/>
      <x:c r="C76" s="136"/>
      <x:c r="D76" s="136"/>
      <x:c r="E76" s="136"/>
      <x:c r="F76" s="136"/>
      <x:c r="G76" s="136"/>
      <x:c r="H76" s="136"/>
      <x:c r="I76" s="136"/>
      <x:c r="J76" s="136"/>
      <x:c r="K76" s="136"/>
      <x:c r="L76" s="136"/>
      <x:c r="M76" s="3"/>
      <x:c r="N76" s="3"/>
      <x:c r="O76" s="3"/>
      <x:c r="P76" s="3"/>
      <x:c r="Q76" s="3"/>
      <x:c r="R76" s="3"/>
    </x:row>
    <x:row r="77" ht="22" customHeight="1">
      <x:c r="A77" s="136"/>
      <x:c r="B77" s="136"/>
      <x:c r="C77" s="136"/>
      <x:c r="D77" s="136"/>
      <x:c r="E77" s="136"/>
      <x:c r="F77" s="136"/>
      <x:c r="G77" s="136"/>
      <x:c r="H77" s="136"/>
      <x:c r="I77" s="136"/>
      <x:c r="J77" s="136"/>
      <x:c r="K77" s="136"/>
      <x:c r="L77" s="136"/>
      <x:c r="M77" s="3"/>
      <x:c r="N77" s="3"/>
      <x:c r="O77" s="3"/>
      <x:c r="P77" s="3"/>
      <x:c r="Q77" s="3"/>
      <x:c r="R77" s="3"/>
    </x:row>
    <x:row r="78" ht="22" customHeight="1">
      <x:c r="A78" s="136" t="str">
        <x:v>Practised: staff use current maps, visible WIP and exception rules to manage work.</x:v>
      </x:c>
      <x:c r="B78" s="136"/>
      <x:c r="C78" s="136"/>
      <x:c r="D78" s="136"/>
      <x:c r="E78" s="136"/>
      <x:c r="F78" s="136"/>
      <x:c r="G78" s="136"/>
      <x:c r="H78" s="136"/>
      <x:c r="I78" s="136"/>
      <x:c r="J78" s="136"/>
      <x:c r="K78" s="136"/>
      <x:c r="L78" s="136"/>
      <x:c r="M78" s="3"/>
      <x:c r="N78" s="3"/>
      <x:c r="O78" s="3"/>
      <x:c r="P78" s="3"/>
      <x:c r="Q78" s="3"/>
      <x:c r="R78" s="3"/>
    </x:row>
    <x:row r="79" ht="22" customHeight="1">
      <x:c r="A79" s="136"/>
      <x:c r="B79" s="136"/>
      <x:c r="C79" s="136"/>
      <x:c r="D79" s="136"/>
      <x:c r="E79" s="136"/>
      <x:c r="F79" s="136"/>
      <x:c r="G79" s="136"/>
      <x:c r="H79" s="136"/>
      <x:c r="I79" s="136"/>
      <x:c r="J79" s="136"/>
      <x:c r="K79" s="136"/>
      <x:c r="L79" s="136"/>
      <x:c r="M79" s="3"/>
      <x:c r="N79" s="3"/>
      <x:c r="O79" s="3"/>
      <x:c r="P79" s="3"/>
      <x:c r="Q79" s="3"/>
      <x:c r="R79" s="3"/>
    </x:row>
    <x:row r="80" ht="22" customHeight="1">
      <x:c r="A80" s="136" t="str">
        <x:v>Embedded: maps and standards are maintained through learning across teams and cover conditions.</x:v>
      </x:c>
      <x:c r="B80" s="136"/>
      <x:c r="C80" s="136"/>
      <x:c r="D80" s="136"/>
      <x:c r="E80" s="136"/>
      <x:c r="F80" s="136"/>
      <x:c r="G80" s="136"/>
      <x:c r="H80" s="136"/>
      <x:c r="I80" s="136"/>
      <x:c r="J80" s="136"/>
      <x:c r="K80" s="136"/>
      <x:c r="L80" s="136"/>
      <x:c r="M80" s="3"/>
      <x:c r="N80" s="3"/>
      <x:c r="O80" s="3"/>
      <x:c r="P80" s="3"/>
      <x:c r="Q80" s="3"/>
      <x:c r="R80" s="3"/>
    </x:row>
    <x:row r="81" ht="22" customHeight="1">
      <x:c r="A81" s="136"/>
      <x:c r="B81" s="136"/>
      <x:c r="C81" s="136"/>
      <x:c r="D81" s="136"/>
      <x:c r="E81" s="136"/>
      <x:c r="F81" s="136"/>
      <x:c r="G81" s="136"/>
      <x:c r="H81" s="136"/>
      <x:c r="I81" s="136"/>
      <x:c r="J81" s="136"/>
      <x:c r="K81" s="136"/>
      <x:c r="L81" s="136"/>
      <x:c r="M81" s="3"/>
      <x:c r="N81" s="3"/>
      <x:c r="O81" s="3"/>
      <x:c r="P81" s="3"/>
      <x:c r="Q81" s="3"/>
      <x:c r="R81" s="3"/>
    </x:row>
    <x:row r="82" ht="22" customHeight="1">
      <x:c r="A82" s="150" t="str">
        <x:v>Reactive to Defined: observe and verify one end-to-end map. Defined to Practised: make queue ownership and ready/done conditions visible. Practised to Embedded: update the standard when tests or operating conditions change and verify cross-team use.</x:v>
      </x:c>
      <x:c r="B82" s="150"/>
      <x:c r="C82" s="150"/>
      <x:c r="D82" s="150"/>
      <x:c r="E82" s="150"/>
      <x:c r="F82" s="150"/>
      <x:c r="G82" s="150"/>
      <x:c r="H82" s="150"/>
      <x:c r="I82" s="150"/>
      <x:c r="J82" s="150"/>
      <x:c r="K82" s="150"/>
      <x:c r="L82" s="150"/>
      <x:c r="M82" s="3"/>
      <x:c r="N82" s="3"/>
      <x:c r="O82" s="3"/>
      <x:c r="P82" s="3"/>
      <x:c r="Q82" s="3"/>
      <x:c r="R82" s="3"/>
    </x:row>
    <x:row r="83" ht="22" customHeight="1">
      <x:c r="A83" s="150"/>
      <x:c r="B83" s="150"/>
      <x:c r="C83" s="150"/>
      <x:c r="D83" s="150"/>
      <x:c r="E83" s="150"/>
      <x:c r="F83" s="150"/>
      <x:c r="G83" s="150"/>
      <x:c r="H83" s="150"/>
      <x:c r="I83" s="150"/>
      <x:c r="J83" s="150"/>
      <x:c r="K83" s="150"/>
      <x:c r="L83" s="150"/>
      <x:c r="M83" s="3"/>
      <x:c r="N83" s="3"/>
      <x:c r="O83" s="3"/>
      <x:c r="P83" s="3"/>
      <x:c r="Q83" s="3"/>
      <x:c r="R83" s="3"/>
    </x:row>
    <x:row r="84" ht="22" customHeight="1">
      <x:c r="A84" s="150"/>
      <x:c r="B84" s="150"/>
      <x:c r="C84" s="150"/>
      <x:c r="D84" s="150"/>
      <x:c r="E84" s="150"/>
      <x:c r="F84" s="150"/>
      <x:c r="G84" s="150"/>
      <x:c r="H84" s="150"/>
      <x:c r="I84" s="150"/>
      <x:c r="J84" s="150"/>
      <x:c r="K84" s="150"/>
      <x:c r="L84" s="150"/>
      <x:c r="M84" s="3"/>
      <x:c r="N84" s="3"/>
      <x:c r="O84" s="3"/>
      <x:c r="P84" s="3"/>
      <x:c r="Q84" s="3"/>
      <x:c r="R84" s="3"/>
    </x:row>
    <x:row r="85" ht="22" customHeight="1">
      <x:c r="A85" s="150"/>
      <x:c r="B85" s="150"/>
      <x:c r="C85" s="150"/>
      <x:c r="D85" s="150"/>
      <x:c r="E85" s="150"/>
      <x:c r="F85" s="150"/>
      <x:c r="G85" s="150"/>
      <x:c r="H85" s="150"/>
      <x:c r="I85" s="150"/>
      <x:c r="J85" s="150"/>
      <x:c r="K85" s="150"/>
      <x:c r="L85" s="150"/>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122" t="str">
        <x:v>Measurement</x:v>
      </x:c>
      <x:c r="B87" s="122"/>
      <x:c r="C87" s="122"/>
      <x:c r="D87" s="122"/>
      <x:c r="E87" s="122"/>
      <x:c r="F87" s="122"/>
      <x:c r="G87" s="122"/>
      <x:c r="H87" s="122"/>
      <x:c r="I87" s="122"/>
      <x:c r="J87" s="122"/>
      <x:c r="K87" s="122"/>
      <x:c r="L87" s="122"/>
      <x:c r="M87" s="3"/>
      <x:c r="N87" s="3"/>
      <x:c r="O87" s="3"/>
      <x:c r="P87" s="3"/>
      <x:c r="Q87" s="3"/>
      <x:c r="R87" s="3"/>
    </x:row>
    <x:row r="88" ht="20" customHeight="1">
      <x:c r="A88" s="122"/>
      <x:c r="B88" s="122"/>
      <x:c r="C88" s="122"/>
      <x:c r="D88" s="122"/>
      <x:c r="E88" s="122"/>
      <x:c r="F88" s="122"/>
      <x:c r="G88" s="122"/>
      <x:c r="H88" s="122"/>
      <x:c r="I88" s="122"/>
      <x:c r="J88" s="122"/>
      <x:c r="K88" s="122"/>
      <x:c r="L88" s="122"/>
      <x:c r="M88" s="3"/>
      <x:c r="N88" s="3"/>
      <x:c r="O88" s="3"/>
      <x:c r="P88" s="3"/>
      <x:c r="Q88" s="3"/>
      <x:c r="R88" s="3"/>
    </x:row>
    <x:row r="89" ht="22" customHeight="1">
      <x:c r="A89" s="136" t="str">
        <x:v>Reactive: anecdotes and isolated averages dominate review.</x:v>
      </x:c>
      <x:c r="B89" s="136"/>
      <x:c r="C89" s="136"/>
      <x:c r="D89" s="136"/>
      <x:c r="E89" s="136"/>
      <x:c r="F89" s="136"/>
      <x:c r="G89" s="136"/>
      <x:c r="H89" s="136"/>
      <x:c r="I89" s="136"/>
      <x:c r="J89" s="136"/>
      <x:c r="K89" s="136"/>
      <x:c r="L89" s="136"/>
      <x:c r="M89" s="3"/>
      <x:c r="N89" s="3"/>
      <x:c r="O89" s="3"/>
      <x:c r="P89" s="3"/>
      <x:c r="Q89" s="3"/>
      <x:c r="R89" s="3"/>
    </x:row>
    <x:row r="90" ht="22" customHeight="1">
      <x:c r="A90" s="136"/>
      <x:c r="B90" s="136"/>
      <x:c r="C90" s="136"/>
      <x:c r="D90" s="136"/>
      <x:c r="E90" s="136"/>
      <x:c r="F90" s="136"/>
      <x:c r="G90" s="136"/>
      <x:c r="H90" s="136"/>
      <x:c r="I90" s="136"/>
      <x:c r="J90" s="136"/>
      <x:c r="K90" s="136"/>
      <x:c r="L90" s="136"/>
      <x:c r="M90" s="3"/>
      <x:c r="N90" s="3"/>
      <x:c r="O90" s="3"/>
      <x:c r="P90" s="3"/>
      <x:c r="Q90" s="3"/>
      <x:c r="R90" s="3"/>
    </x:row>
    <x:row r="91" ht="22" customHeight="1">
      <x:c r="A91" s="136" t="str">
        <x:v>Defined: measures have units, boundaries, denominators and collection owners.</x:v>
      </x:c>
      <x:c r="B91" s="136"/>
      <x:c r="C91" s="136"/>
      <x:c r="D91" s="136"/>
      <x:c r="E91" s="136"/>
      <x:c r="F91" s="136"/>
      <x:c r="G91" s="136"/>
      <x:c r="H91" s="136"/>
      <x:c r="I91" s="136"/>
      <x:c r="J91" s="136"/>
      <x:c r="K91" s="136"/>
      <x:c r="L91" s="136"/>
      <x:c r="M91" s="3"/>
      <x:c r="N91" s="3"/>
      <x:c r="O91" s="3"/>
      <x:c r="P91" s="3"/>
      <x:c r="Q91" s="3"/>
      <x:c r="R91" s="3"/>
    </x:row>
    <x:row r="92" ht="22" customHeight="1">
      <x:c r="A92" s="136"/>
      <x:c r="B92" s="136"/>
      <x:c r="C92" s="136"/>
      <x:c r="D92" s="136"/>
      <x:c r="E92" s="136"/>
      <x:c r="F92" s="136"/>
      <x:c r="G92" s="136"/>
      <x:c r="H92" s="136"/>
      <x:c r="I92" s="136"/>
      <x:c r="J92" s="136"/>
      <x:c r="K92" s="136"/>
      <x:c r="L92" s="136"/>
      <x:c r="M92" s="3"/>
      <x:c r="N92" s="3"/>
      <x:c r="O92" s="3"/>
      <x:c r="P92" s="3"/>
      <x:c r="Q92" s="3"/>
      <x:c r="R92" s="3"/>
    </x:row>
    <x:row r="93" ht="22" customHeight="1">
      <x:c r="A93" s="136" t="str">
        <x:v>Practised: time-series and balancing evidence inform regular decisions; missing data are reviewed.</x:v>
      </x:c>
      <x:c r="B93" s="136"/>
      <x:c r="C93" s="136"/>
      <x:c r="D93" s="136"/>
      <x:c r="E93" s="136"/>
      <x:c r="F93" s="136"/>
      <x:c r="G93" s="136"/>
      <x:c r="H93" s="136"/>
      <x:c r="I93" s="136"/>
      <x:c r="J93" s="136"/>
      <x:c r="K93" s="136"/>
      <x:c r="L93" s="136"/>
      <x:c r="M93" s="3"/>
      <x:c r="N93" s="3"/>
      <x:c r="O93" s="3"/>
      <x:c r="P93" s="3"/>
      <x:c r="Q93" s="3"/>
      <x:c r="R93" s="3"/>
    </x:row>
    <x:row r="94" ht="22" customHeight="1">
      <x:c r="A94" s="136"/>
      <x:c r="B94" s="136"/>
      <x:c r="C94" s="136"/>
      <x:c r="D94" s="136"/>
      <x:c r="E94" s="136"/>
      <x:c r="F94" s="136"/>
      <x:c r="G94" s="136"/>
      <x:c r="H94" s="136"/>
      <x:c r="I94" s="136"/>
      <x:c r="J94" s="136"/>
      <x:c r="K94" s="136"/>
      <x:c r="L94" s="136"/>
      <x:c r="M94" s="3"/>
      <x:c r="N94" s="3"/>
      <x:c r="O94" s="3"/>
      <x:c r="P94" s="3"/>
      <x:c r="Q94" s="3"/>
      <x:c r="R94" s="3"/>
    </x:row>
    <x:row r="95" ht="22" customHeight="1">
      <x:c r="A95" s="136" t="str">
        <x:v>Embedded: analytical assumptions, equity and changing process phases are routinely challenged and maintained.</x:v>
      </x:c>
      <x:c r="B95" s="136"/>
      <x:c r="C95" s="136"/>
      <x:c r="D95" s="136"/>
      <x:c r="E95" s="136"/>
      <x:c r="F95" s="136"/>
      <x:c r="G95" s="136"/>
      <x:c r="H95" s="136"/>
      <x:c r="I95" s="136"/>
      <x:c r="J95" s="136"/>
      <x:c r="K95" s="136"/>
      <x:c r="L95" s="136"/>
      <x:c r="M95" s="3"/>
      <x:c r="N95" s="3"/>
      <x:c r="O95" s="3"/>
      <x:c r="P95" s="3"/>
      <x:c r="Q95" s="3"/>
      <x:c r="R95" s="3"/>
    </x:row>
    <x:row r="96" ht="22" customHeight="1">
      <x:c r="A96" s="136"/>
      <x:c r="B96" s="136"/>
      <x:c r="C96" s="136"/>
      <x:c r="D96" s="136"/>
      <x:c r="E96" s="136"/>
      <x:c r="F96" s="136"/>
      <x:c r="G96" s="136"/>
      <x:c r="H96" s="136"/>
      <x:c r="I96" s="136"/>
      <x:c r="J96" s="136"/>
      <x:c r="K96" s="136"/>
      <x:c r="L96" s="136"/>
      <x:c r="M96" s="3"/>
      <x:c r="N96" s="3"/>
      <x:c r="O96" s="3"/>
      <x:c r="P96" s="3"/>
      <x:c r="Q96" s="3"/>
      <x:c r="R96" s="3"/>
    </x:row>
    <x:row r="97" ht="22" customHeight="1">
      <x:c r="A97" s="150" t="str">
        <x:v>Reactive to Defined: create P06 and a small reliable baseline. Defined to Practised: review annotated time-series data and open-case age. Practised to Embedded: establish competent analytical review and periodically test definitions and unintended incentives.</x:v>
      </x:c>
      <x:c r="B97" s="150"/>
      <x:c r="C97" s="150"/>
      <x:c r="D97" s="150"/>
      <x:c r="E97" s="150"/>
      <x:c r="F97" s="150"/>
      <x:c r="G97" s="150"/>
      <x:c r="H97" s="150"/>
      <x:c r="I97" s="150"/>
      <x:c r="J97" s="150"/>
      <x:c r="K97" s="150"/>
      <x:c r="L97" s="150"/>
      <x:c r="M97" s="3"/>
      <x:c r="N97" s="3"/>
      <x:c r="O97" s="3"/>
      <x:c r="P97" s="3"/>
      <x:c r="Q97" s="3"/>
      <x:c r="R97" s="3"/>
    </x:row>
    <x:row r="98" ht="22" customHeight="1">
      <x:c r="A98" s="150"/>
      <x:c r="B98" s="150"/>
      <x:c r="C98" s="150"/>
      <x:c r="D98" s="150"/>
      <x:c r="E98" s="150"/>
      <x:c r="F98" s="150"/>
      <x:c r="G98" s="150"/>
      <x:c r="H98" s="150"/>
      <x:c r="I98" s="150"/>
      <x:c r="J98" s="150"/>
      <x:c r="K98" s="150"/>
      <x:c r="L98" s="150"/>
      <x:c r="M98" s="3"/>
      <x:c r="N98" s="3"/>
      <x:c r="O98" s="3"/>
      <x:c r="P98" s="3"/>
      <x:c r="Q98" s="3"/>
      <x:c r="R98" s="3"/>
    </x:row>
    <x:row r="99" ht="22" customHeight="1">
      <x:c r="A99" s="150"/>
      <x:c r="B99" s="150"/>
      <x:c r="C99" s="150"/>
      <x:c r="D99" s="150"/>
      <x:c r="E99" s="150"/>
      <x:c r="F99" s="150"/>
      <x:c r="G99" s="150"/>
      <x:c r="H99" s="150"/>
      <x:c r="I99" s="150"/>
      <x:c r="J99" s="150"/>
      <x:c r="K99" s="150"/>
      <x:c r="L99" s="150"/>
      <x:c r="M99" s="3"/>
      <x:c r="N99" s="3"/>
      <x:c r="O99" s="3"/>
      <x:c r="P99" s="3"/>
      <x:c r="Q99" s="3"/>
      <x:c r="R99" s="3"/>
    </x:row>
    <x:row r="100" ht="22" customHeight="1">
      <x:c r="A100" s="150"/>
      <x:c r="B100" s="150"/>
      <x:c r="C100" s="150"/>
      <x:c r="D100" s="150"/>
      <x:c r="E100" s="150"/>
      <x:c r="F100" s="150"/>
      <x:c r="G100" s="150"/>
      <x:c r="H100" s="150"/>
      <x:c r="I100" s="150"/>
      <x:c r="J100" s="150"/>
      <x:c r="K100" s="150"/>
      <x:c r="L100" s="150"/>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122" t="str">
        <x:v>Testing and learning</x:v>
      </x:c>
      <x:c r="B102" s="122"/>
      <x:c r="C102" s="122"/>
      <x:c r="D102" s="122"/>
      <x:c r="E102" s="122"/>
      <x:c r="F102" s="122"/>
      <x:c r="G102" s="122"/>
      <x:c r="H102" s="122"/>
      <x:c r="I102" s="122"/>
      <x:c r="J102" s="122"/>
      <x:c r="K102" s="122"/>
      <x:c r="L102" s="122"/>
      <x:c r="M102" s="3"/>
      <x:c r="N102" s="3"/>
      <x:c r="O102" s="3"/>
      <x:c r="P102" s="3"/>
      <x:c r="Q102" s="3"/>
      <x:c r="R102" s="3"/>
    </x:row>
    <x:row r="103" ht="20" customHeight="1">
      <x:c r="A103" s="122"/>
      <x:c r="B103" s="122"/>
      <x:c r="C103" s="122"/>
      <x:c r="D103" s="122"/>
      <x:c r="E103" s="122"/>
      <x:c r="F103" s="122"/>
      <x:c r="G103" s="122"/>
      <x:c r="H103" s="122"/>
      <x:c r="I103" s="122"/>
      <x:c r="J103" s="122"/>
      <x:c r="K103" s="122"/>
      <x:c r="L103" s="122"/>
      <x:c r="M103" s="3"/>
      <x:c r="N103" s="3"/>
      <x:c r="O103" s="3"/>
      <x:c r="P103" s="3"/>
      <x:c r="Q103" s="3"/>
      <x:c r="R103" s="3"/>
    </x:row>
    <x:row r="104" ht="22" customHeight="1">
      <x:c r="A104" s="136" t="str">
        <x:v>Reactive: solutions are launched without explicit predictions.</x:v>
      </x:c>
      <x:c r="B104" s="136"/>
      <x:c r="C104" s="136"/>
      <x:c r="D104" s="136"/>
      <x:c r="E104" s="136"/>
      <x:c r="F104" s="136"/>
      <x:c r="G104" s="136"/>
      <x:c r="H104" s="136"/>
      <x:c r="I104" s="136"/>
      <x:c r="J104" s="136"/>
      <x:c r="K104" s="136"/>
      <x:c r="L104" s="136"/>
      <x:c r="M104" s="3"/>
      <x:c r="N104" s="3"/>
      <x:c r="O104" s="3"/>
      <x:c r="P104" s="3"/>
      <x:c r="Q104" s="3"/>
      <x:c r="R104" s="3"/>
    </x:row>
    <x:row r="105" ht="22" customHeight="1">
      <x:c r="A105" s="136"/>
      <x:c r="B105" s="136"/>
      <x:c r="C105" s="136"/>
      <x:c r="D105" s="136"/>
      <x:c r="E105" s="136"/>
      <x:c r="F105" s="136"/>
      <x:c r="G105" s="136"/>
      <x:c r="H105" s="136"/>
      <x:c r="I105" s="136"/>
      <x:c r="J105" s="136"/>
      <x:c r="K105" s="136"/>
      <x:c r="L105" s="136"/>
      <x:c r="M105" s="3"/>
      <x:c r="N105" s="3"/>
      <x:c r="O105" s="3"/>
      <x:c r="P105" s="3"/>
      <x:c r="Q105" s="3"/>
      <x:c r="R105" s="3"/>
    </x:row>
    <x:row r="106" ht="22" customHeight="1">
      <x:c r="A106" s="136" t="str">
        <x:v>Defined: a cycle template and permission route exist.</x:v>
      </x:c>
      <x:c r="B106" s="136"/>
      <x:c r="C106" s="136"/>
      <x:c r="D106" s="136"/>
      <x:c r="E106" s="136"/>
      <x:c r="F106" s="136"/>
      <x:c r="G106" s="136"/>
      <x:c r="H106" s="136"/>
      <x:c r="I106" s="136"/>
      <x:c r="J106" s="136"/>
      <x:c r="K106" s="136"/>
      <x:c r="L106" s="136"/>
      <x:c r="M106" s="3"/>
      <x:c r="N106" s="3"/>
      <x:c r="O106" s="3"/>
      <x:c r="P106" s="3"/>
      <x:c r="Q106" s="3"/>
      <x:c r="R106" s="3"/>
    </x:row>
    <x:row r="107" ht="22" customHeight="1">
      <x:c r="A107" s="136"/>
      <x:c r="B107" s="136"/>
      <x:c r="C107" s="136"/>
      <x:c r="D107" s="136"/>
      <x:c r="E107" s="136"/>
      <x:c r="F107" s="136"/>
      <x:c r="G107" s="136"/>
      <x:c r="H107" s="136"/>
      <x:c r="I107" s="136"/>
      <x:c r="J107" s="136"/>
      <x:c r="K107" s="136"/>
      <x:c r="L107" s="136"/>
      <x:c r="M107" s="3"/>
      <x:c r="N107" s="3"/>
      <x:c r="O107" s="3"/>
      <x:c r="P107" s="3"/>
      <x:c r="Q107" s="3"/>
      <x:c r="R107" s="3"/>
    </x:row>
    <x:row r="108" ht="22" customHeight="1">
      <x:c r="A108" s="136" t="str">
        <x:v>Practised: linked small tests record predictions, deviations, learning and Act choices.</x:v>
      </x:c>
      <x:c r="B108" s="136"/>
      <x:c r="C108" s="136"/>
      <x:c r="D108" s="136"/>
      <x:c r="E108" s="136"/>
      <x:c r="F108" s="136"/>
      <x:c r="G108" s="136"/>
      <x:c r="H108" s="136"/>
      <x:c r="I108" s="136"/>
      <x:c r="J108" s="136"/>
      <x:c r="K108" s="136"/>
      <x:c r="L108" s="136"/>
      <x:c r="M108" s="3"/>
      <x:c r="N108" s="3"/>
      <x:c r="O108" s="3"/>
      <x:c r="P108" s="3"/>
      <x:c r="Q108" s="3"/>
      <x:c r="R108" s="3"/>
    </x:row>
    <x:row r="109" ht="22" customHeight="1">
      <x:c r="A109" s="136"/>
      <x:c r="B109" s="136"/>
      <x:c r="C109" s="136"/>
      <x:c r="D109" s="136"/>
      <x:c r="E109" s="136"/>
      <x:c r="F109" s="136"/>
      <x:c r="G109" s="136"/>
      <x:c r="H109" s="136"/>
      <x:c r="I109" s="136"/>
      <x:c r="J109" s="136"/>
      <x:c r="K109" s="136"/>
      <x:c r="L109" s="136"/>
      <x:c r="M109" s="3"/>
      <x:c r="N109" s="3"/>
      <x:c r="O109" s="3"/>
      <x:c r="P109" s="3"/>
      <x:c r="Q109" s="3"/>
      <x:c r="R109" s="3"/>
    </x:row>
    <x:row r="110" ht="22" customHeight="1">
      <x:c r="A110" s="136" t="str">
        <x:v>Embedded: testing across conditions changes standards and informs spread; unsuccessful ideas remain visible.</x:v>
      </x:c>
      <x:c r="B110" s="136"/>
      <x:c r="C110" s="136"/>
      <x:c r="D110" s="136"/>
      <x:c r="E110" s="136"/>
      <x:c r="F110" s="136"/>
      <x:c r="G110" s="136"/>
      <x:c r="H110" s="136"/>
      <x:c r="I110" s="136"/>
      <x:c r="J110" s="136"/>
      <x:c r="K110" s="136"/>
      <x:c r="L110" s="136"/>
      <x:c r="M110" s="3"/>
      <x:c r="N110" s="3"/>
      <x:c r="O110" s="3"/>
      <x:c r="P110" s="3"/>
      <x:c r="Q110" s="3"/>
      <x:c r="R110" s="3"/>
    </x:row>
    <x:row r="111" ht="22" customHeight="1">
      <x:c r="A111" s="136" t="str">
        <x:v>01  Scope and participants</x:v>
      </x:c>
      <x:c r="B111" s="136"/>
      <x:c r="C111" s="136"/>
      <x:c r="D111" s="136" t="str">
        <x:v>Define the system being discussed.</x:v>
      </x:c>
      <x:c r="E111" s="136"/>
      <x:c r="F111" s="136"/>
      <x:c r="G111" s="136"/>
      <x:c r="H111" s="136"/>
      <x:c r="I111" s="136"/>
      <x:c r="J111" s="136"/>
      <x:c r="K111" s="136"/>
      <x:c r="L111" s="136"/>
      <x:c r="M111" s="3"/>
      <x:c r="N111" s="3"/>
      <x:c r="O111" s="3"/>
      <x:c r="P111" s="3"/>
      <x:c r="Q111" s="3"/>
      <x:c r="R111" s="3"/>
    </x:row>
    <x:row r="112" ht="22" customHeight="1">
      <x:c r="A112" s="150" t="str">
        <x:v>Reactive to Defined: design one safe test with a written prediction. Defined to Practised: run a sequence that addresses new uncertainties. Practised to Embedded: test cover, peak and receiving contexts and retain the learning in operating standards.</x:v>
      </x:c>
      <x:c r="B112" s="150"/>
      <x:c r="C112" s="150"/>
      <x:c r="D112" s="150"/>
      <x:c r="E112" s="150"/>
      <x:c r="F112" s="150"/>
      <x:c r="G112" s="150"/>
      <x:c r="H112" s="150"/>
      <x:c r="I112" s="150"/>
      <x:c r="J112" s="150"/>
      <x:c r="K112" s="150"/>
      <x:c r="L112" s="150"/>
      <x:c r="M112" s="3"/>
      <x:c r="N112" s="3"/>
      <x:c r="O112" s="3"/>
      <x:c r="P112" s="3"/>
      <x:c r="Q112" s="3"/>
      <x:c r="R112" s="3"/>
    </x:row>
    <x:row r="113" ht="22" customHeight="1">
      <x:c r="A113" s="150"/>
      <x:c r="B113" s="150"/>
      <x:c r="C113" s="150"/>
      <x:c r="D113" s="150"/>
      <x:c r="E113" s="150"/>
      <x:c r="F113" s="150"/>
      <x:c r="G113" s="150"/>
      <x:c r="H113" s="150"/>
      <x:c r="I113" s="150"/>
      <x:c r="J113" s="150"/>
      <x:c r="K113" s="150"/>
      <x:c r="L113" s="150"/>
      <x:c r="M113" s="3"/>
      <x:c r="N113" s="3"/>
      <x:c r="O113" s="3"/>
      <x:c r="P113" s="3"/>
      <x:c r="Q113" s="3"/>
      <x:c r="R113" s="3"/>
    </x:row>
    <x:row r="114" ht="22" customHeight="1">
      <x:c r="A114" s="150"/>
      <x:c r="B114" s="150"/>
      <x:c r="C114" s="150"/>
      <x:c r="D114" s="150"/>
      <x:c r="E114" s="150"/>
      <x:c r="F114" s="150"/>
      <x:c r="G114" s="150"/>
      <x:c r="H114" s="150"/>
      <x:c r="I114" s="150"/>
      <x:c r="J114" s="150"/>
      <x:c r="K114" s="150"/>
      <x:c r="L114" s="150"/>
      <x:c r="M114" s="3"/>
      <x:c r="N114" s="3"/>
      <x:c r="O114" s="3"/>
      <x:c r="P114" s="3"/>
      <x:c r="Q114" s="3"/>
      <x:c r="R114" s="3"/>
    </x:row>
    <x:row r="115" ht="22" customHeight="1">
      <x:c r="A115" s="150"/>
      <x:c r="B115" s="150"/>
      <x:c r="C115" s="150"/>
      <x:c r="D115" s="150"/>
      <x:c r="E115" s="150"/>
      <x:c r="F115" s="150"/>
      <x:c r="G115" s="150"/>
      <x:c r="H115" s="150"/>
      <x:c r="I115" s="150"/>
      <x:c r="J115" s="150"/>
      <x:c r="K115" s="150"/>
      <x:c r="L115" s="150"/>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122" t="str">
        <x:v>Daily management</x:v>
      </x:c>
      <x:c r="B117" s="122"/>
      <x:c r="C117" s="122"/>
      <x:c r="D117" s="122" t="str">
        <x:v>Review six distinct areas.</x:v>
      </x:c>
      <x:c r="E117" s="122"/>
      <x:c r="F117" s="122"/>
      <x:c r="G117" s="122"/>
      <x:c r="H117" s="122"/>
      <x:c r="I117" s="122"/>
      <x:c r="J117" s="122"/>
      <x:c r="K117" s="122"/>
      <x:c r="L117" s="122"/>
      <x:c r="M117" s="3"/>
      <x:c r="N117" s="3"/>
      <x:c r="O117" s="3"/>
      <x:c r="P117" s="3"/>
      <x:c r="Q117" s="3"/>
      <x:c r="R117" s="3"/>
    </x:row>
    <x:row r="118" ht="20" customHeight="1">
      <x:c r="A118" s="122"/>
      <x:c r="B118" s="122"/>
      <x:c r="C118" s="122"/>
      <x:c r="D118" s="122"/>
      <x:c r="E118" s="122"/>
      <x:c r="F118" s="122"/>
      <x:c r="G118" s="122"/>
      <x:c r="H118" s="122"/>
      <x:c r="I118" s="122"/>
      <x:c r="J118" s="122"/>
      <x:c r="K118" s="122"/>
      <x:c r="L118" s="122"/>
      <x:c r="M118" s="3"/>
      <x:c r="N118" s="3"/>
      <x:c r="O118" s="3"/>
      <x:c r="P118" s="3"/>
      <x:c r="Q118" s="3"/>
      <x:c r="R118" s="3"/>
    </x:row>
    <x:row r="119" ht="22" customHeight="1">
      <x:c r="A119" s="136" t="str">
        <x:v>Reactive: problems depend on personal escalation and firefighting.</x:v>
      </x:c>
      <x:c r="B119" s="136"/>
      <x:c r="C119" s="136"/>
      <x:c r="D119" s="136"/>
      <x:c r="E119" s="136"/>
      <x:c r="F119" s="136"/>
      <x:c r="G119" s="136"/>
      <x:c r="H119" s="136"/>
      <x:c r="I119" s="136"/>
      <x:c r="J119" s="136"/>
      <x:c r="K119" s="136"/>
      <x:c r="L119" s="136"/>
      <x:c r="M119" s="3"/>
      <x:c r="N119" s="3"/>
      <x:c r="O119" s="3"/>
      <x:c r="P119" s="3"/>
      <x:c r="Q119" s="3"/>
      <x:c r="R119" s="3"/>
    </x:row>
    <x:row r="120" ht="22" customHeight="1">
      <x:c r="A120" s="136"/>
      <x:c r="B120" s="136"/>
      <x:c r="C120" s="136"/>
      <x:c r="D120" s="136"/>
      <x:c r="E120" s="136"/>
      <x:c r="F120" s="136"/>
      <x:c r="G120" s="136"/>
      <x:c r="H120" s="136"/>
      <x:c r="I120" s="136"/>
      <x:c r="J120" s="136"/>
      <x:c r="K120" s="136"/>
      <x:c r="L120" s="136"/>
      <x:c r="M120" s="3"/>
      <x:c r="N120" s="3"/>
      <x:c r="O120" s="3"/>
      <x:c r="P120" s="3"/>
      <x:c r="Q120" s="3"/>
      <x:c r="R120" s="3"/>
    </x:row>
    <x:row r="121" ht="22" customHeight="1">
      <x:c r="A121" s="136" t="str">
        <x:v>Defined: owners, a board and response expectations are specified.</x:v>
      </x:c>
      <x:c r="B121" s="136"/>
      <x:c r="C121" s="136"/>
      <x:c r="D121" s="136"/>
      <x:c r="E121" s="136"/>
      <x:c r="F121" s="136"/>
      <x:c r="G121" s="136"/>
      <x:c r="H121" s="136"/>
      <x:c r="I121" s="136"/>
      <x:c r="J121" s="136"/>
      <x:c r="K121" s="136"/>
      <x:c r="L121" s="136"/>
      <x:c r="M121" s="3"/>
      <x:c r="N121" s="3"/>
      <x:c r="O121" s="3"/>
      <x:c r="P121" s="3"/>
      <x:c r="Q121" s="3"/>
      <x:c r="R121" s="3"/>
    </x:row>
    <x:row r="122" ht="22" customHeight="1">
      <x:c r="A122" s="136"/>
      <x:c r="B122" s="136"/>
      <x:c r="C122" s="136"/>
      <x:c r="D122" s="136"/>
      <x:c r="E122" s="136"/>
      <x:c r="F122" s="136"/>
      <x:c r="G122" s="136"/>
      <x:c r="H122" s="136"/>
      <x:c r="I122" s="136"/>
      <x:c r="J122" s="136"/>
      <x:c r="K122" s="136"/>
      <x:c r="L122" s="136"/>
      <x:c r="M122" s="3"/>
      <x:c r="N122" s="3"/>
      <x:c r="O122" s="3"/>
      <x:c r="P122" s="3"/>
      <x:c r="Q122" s="3"/>
      <x:c r="R122" s="3"/>
    </x:row>
    <x:row r="123" ht="22" customHeight="1">
      <x:c r="A123" s="136" t="str">
        <x:v>Practised: short reviews identify abnormalities, assign action and obtain leadership support.</x:v>
      </x:c>
      <x:c r="B123" s="136"/>
      <x:c r="C123" s="136"/>
      <x:c r="D123" s="136" t="str">
        <x:v>Record sources and gaps.</x:v>
      </x:c>
      <x:c r="E123" s="136"/>
      <x:c r="F123" s="136"/>
      <x:c r="G123" s="136"/>
      <x:c r="H123" s="136"/>
      <x:c r="I123" s="136"/>
      <x:c r="J123" s="136"/>
      <x:c r="K123" s="136"/>
      <x:c r="L123" s="136"/>
      <x:c r="M123" s="3"/>
      <x:c r="N123" s="3"/>
      <x:c r="O123" s="3"/>
      <x:c r="P123" s="3"/>
      <x:c r="Q123" s="3"/>
      <x:c r="R123" s="3"/>
    </x:row>
    <x:row r="124" ht="22" customHeight="1">
      <x:c r="A124" s="136"/>
      <x:c r="B124" s="136"/>
      <x:c r="C124" s="136"/>
      <x:c r="D124" s="136"/>
      <x:c r="E124" s="136"/>
      <x:c r="F124" s="136"/>
      <x:c r="G124" s="136"/>
      <x:c r="H124" s="136"/>
      <x:c r="I124" s="136"/>
      <x:c r="J124" s="136"/>
      <x:c r="K124" s="136"/>
      <x:c r="L124" s="136"/>
      <x:c r="M124" s="3"/>
      <x:c r="N124" s="3"/>
      <x:c r="O124" s="3"/>
      <x:c r="P124" s="3"/>
      <x:c r="Q124" s="3"/>
      <x:c r="R124" s="3"/>
    </x:row>
    <x:row r="125" ht="22" customHeight="1">
      <x:c r="A125" s="136" t="str">
        <x:v>Embedded: recurring barriers are resolved systemically and routines are improved rather than multiplied.</x:v>
      </x:c>
      <x:c r="B125" s="136"/>
      <x:c r="C125" s="136"/>
      <x:c r="D125" s="136"/>
      <x:c r="E125" s="136"/>
      <x:c r="F125" s="136"/>
      <x:c r="G125" s="136"/>
      <x:c r="H125" s="136"/>
      <x:c r="I125" s="136"/>
      <x:c r="J125" s="136"/>
      <x:c r="K125" s="136"/>
      <x:c r="L125" s="136"/>
      <x:c r="M125" s="3"/>
      <x:c r="N125" s="3"/>
      <x:c r="O125" s="3"/>
      <x:c r="P125" s="3"/>
      <x:c r="Q125" s="3"/>
      <x:c r="R125" s="3"/>
    </x:row>
    <x:row r="126" ht="22" customHeight="1">
      <x:c r="A126" s="136"/>
      <x:c r="B126" s="136"/>
      <x:c r="C126" s="136"/>
      <x:c r="D126" s="136"/>
      <x:c r="E126" s="136"/>
      <x:c r="F126" s="136"/>
      <x:c r="G126" s="136"/>
      <x:c r="H126" s="136"/>
      <x:c r="I126" s="136"/>
      <x:c r="J126" s="136"/>
      <x:c r="K126" s="136"/>
      <x:c r="L126" s="136"/>
      <x:c r="M126" s="3"/>
      <x:c r="N126" s="3"/>
      <x:c r="O126" s="3"/>
      <x:c r="P126" s="3"/>
      <x:c r="Q126" s="3"/>
      <x:c r="R126" s="3"/>
    </x:row>
    <x:row r="127" ht="22" customHeight="1">
      <x:c r="A127" s="150" t="str">
        <x:v>Reactive to Defined: agree L06 and escalation ownership. Defined to Practised: check action closure with evidence and leader response. Practised to Embedded: remove duplicate reporting and use recurring problems to redesign the supporting system.</x:v>
      </x:c>
      <x:c r="B127" s="150"/>
      <x:c r="C127" s="150"/>
      <x:c r="D127" s="150"/>
      <x:c r="E127" s="150"/>
      <x:c r="F127" s="150"/>
      <x:c r="G127" s="150"/>
      <x:c r="H127" s="150"/>
      <x:c r="I127" s="150"/>
      <x:c r="J127" s="150"/>
      <x:c r="K127" s="150"/>
      <x:c r="L127" s="150"/>
      <x:c r="M127" s="3"/>
      <x:c r="N127" s="3"/>
      <x:c r="O127" s="3"/>
      <x:c r="P127" s="3"/>
      <x:c r="Q127" s="3"/>
      <x:c r="R127" s="3"/>
    </x:row>
    <x:row r="128" ht="22" customHeight="1">
      <x:c r="A128" s="150"/>
      <x:c r="B128" s="150"/>
      <x:c r="C128" s="150"/>
      <x:c r="D128" s="150"/>
      <x:c r="E128" s="150"/>
      <x:c r="F128" s="150"/>
      <x:c r="G128" s="150"/>
      <x:c r="H128" s="150"/>
      <x:c r="I128" s="150"/>
      <x:c r="J128" s="150"/>
      <x:c r="K128" s="150"/>
      <x:c r="L128" s="150"/>
      <x:c r="M128" s="3"/>
      <x:c r="N128" s="3"/>
      <x:c r="O128" s="3"/>
      <x:c r="P128" s="3"/>
      <x:c r="Q128" s="3"/>
      <x:c r="R128" s="3"/>
    </x:row>
    <x:row r="129" ht="22" customHeight="1">
      <x:c r="A129" s="150" t="str">
        <x:v>04  Level judgement</x:v>
      </x:c>
      <x:c r="B129" s="150"/>
      <x:c r="C129" s="150"/>
      <x:c r="D129" s="150" t="str">
        <x:v>Select a supported level per dimension.</x:v>
      </x:c>
      <x:c r="E129" s="150"/>
      <x:c r="F129" s="150"/>
      <x:c r="G129" s="150"/>
      <x:c r="H129" s="150"/>
      <x:c r="I129" s="150"/>
      <x:c r="J129" s="150"/>
      <x:c r="K129" s="150"/>
      <x:c r="L129" s="150"/>
      <x:c r="M129" s="3"/>
      <x:c r="N129" s="3"/>
      <x:c r="O129" s="3"/>
      <x:c r="P129" s="3"/>
      <x:c r="Q129" s="3"/>
      <x:c r="R129" s="3"/>
    </x:row>
    <x:row r="130" ht="22" customHeight="1">
      <x:c r="A130" s="150"/>
      <x:c r="B130" s="150"/>
      <x:c r="C130" s="150"/>
      <x:c r="D130" s="150"/>
      <x:c r="E130" s="150"/>
      <x:c r="F130" s="150"/>
      <x:c r="G130" s="150"/>
      <x:c r="H130" s="150"/>
      <x:c r="I130" s="150"/>
      <x:c r="J130" s="150"/>
      <x:c r="K130" s="150"/>
      <x:c r="L130" s="150"/>
      <x:c r="M130" s="3"/>
      <x:c r="N130" s="3"/>
      <x:c r="O130" s="3"/>
      <x:c r="P130" s="3"/>
      <x:c r="Q130" s="3"/>
      <x:c r="R130" s="3"/>
    </x:row>
    <x:row r="131" ht="20" customHeight="1">
      <x:c r="A131" s="46"/>
      <x:c r="B131" s="46"/>
      <x:c r="C131" s="46"/>
      <x:c r="D131" s="46"/>
      <x:c r="E131" s="46"/>
      <x:c r="F131" s="46"/>
      <x:c r="G131" s="46"/>
      <x:c r="H131" s="46"/>
      <x:c r="I131" s="46"/>
      <x:c r="J131" s="46"/>
      <x:c r="K131" s="46"/>
      <x:c r="L131" s="46"/>
      <x:c r="M131" s="3"/>
      <x:c r="N131" s="3"/>
      <x:c r="O131" s="3"/>
      <x:c r="P131" s="3"/>
      <x:c r="Q131" s="3"/>
      <x:c r="R131" s="3"/>
    </x:row>
    <x:row r="132" ht="20" customHeight="1">
      <x:c r="A132" s="122" t="str">
        <x:v>Capability and respect</x:v>
      </x:c>
      <x:c r="B132" s="122"/>
      <x:c r="C132" s="122"/>
      <x:c r="D132" s="122"/>
      <x:c r="E132" s="122"/>
      <x:c r="F132" s="122"/>
      <x:c r="G132" s="122"/>
      <x:c r="H132" s="122"/>
      <x:c r="I132" s="122"/>
      <x:c r="J132" s="122"/>
      <x:c r="K132" s="122"/>
      <x:c r="L132" s="122"/>
      <x:c r="M132" s="3"/>
      <x:c r="N132" s="3"/>
      <x:c r="O132" s="3"/>
      <x:c r="P132" s="3"/>
      <x:c r="Q132" s="3"/>
      <x:c r="R132" s="3"/>
    </x:row>
    <x:row r="133" ht="20" customHeight="1">
      <x:c r="A133" s="122"/>
      <x:c r="B133" s="122"/>
      <x:c r="C133" s="122"/>
      <x:c r="D133" s="122"/>
      <x:c r="E133" s="122"/>
      <x:c r="F133" s="122"/>
      <x:c r="G133" s="122"/>
      <x:c r="H133" s="122"/>
      <x:c r="I133" s="122"/>
      <x:c r="J133" s="122"/>
      <x:c r="K133" s="122"/>
      <x:c r="L133" s="122"/>
      <x:c r="M133" s="3"/>
      <x:c r="N133" s="3"/>
      <x:c r="O133" s="3"/>
      <x:c r="P133" s="3"/>
      <x:c r="Q133" s="3"/>
      <x:c r="R133" s="3"/>
    </x:row>
    <x:row r="134" ht="22" customHeight="1">
      <x:c r="A134" s="136" t="str">
        <x:v>Reactive: improvement is specialist-led and staff fear blame.</x:v>
      </x:c>
      <x:c r="B134" s="136"/>
      <x:c r="C134" s="136"/>
      <x:c r="D134" s="136"/>
      <x:c r="E134" s="136"/>
      <x:c r="F134" s="136"/>
      <x:c r="G134" s="136"/>
      <x:c r="H134" s="136"/>
      <x:c r="I134" s="136"/>
      <x:c r="J134" s="136"/>
      <x:c r="K134" s="136"/>
      <x:c r="L134" s="136"/>
      <x:c r="M134" s="3"/>
      <x:c r="N134" s="3"/>
      <x:c r="O134" s="3"/>
      <x:c r="P134" s="3"/>
      <x:c r="Q134" s="3"/>
      <x:c r="R134" s="3"/>
    </x:row>
    <x:row r="135" ht="22" customHeight="1">
      <x:c r="A135" s="136" t="str">
        <x:v>05  Next-level action</x:v>
      </x:c>
      <x:c r="B135" s="136"/>
      <x:c r="C135" s="136"/>
      <x:c r="D135" s="136" t="str">
        <x:v>Specify a concrete developmental step.</x:v>
      </x:c>
      <x:c r="E135" s="136"/>
      <x:c r="F135" s="136"/>
      <x:c r="G135" s="136"/>
      <x:c r="H135" s="136"/>
      <x:c r="I135" s="136"/>
      <x:c r="J135" s="136"/>
      <x:c r="K135" s="136"/>
      <x:c r="L135" s="136"/>
      <x:c r="M135" s="3"/>
      <x:c r="N135" s="3"/>
      <x:c r="O135" s="3"/>
      <x:c r="P135" s="3"/>
      <x:c r="Q135" s="3"/>
      <x:c r="R135" s="3"/>
    </x:row>
    <x:row r="136" ht="22" customHeight="1">
      <x:c r="A136" s="136" t="str">
        <x:v>Defined: participation, training and respectful enquiry are explicitly supported.</x:v>
      </x:c>
      <x:c r="B136" s="136"/>
      <x:c r="C136" s="136"/>
      <x:c r="D136" s="136"/>
      <x:c r="E136" s="136"/>
      <x:c r="F136" s="136"/>
      <x:c r="G136" s="136"/>
      <x:c r="H136" s="136"/>
      <x:c r="I136" s="136"/>
      <x:c r="J136" s="136"/>
      <x:c r="K136" s="136"/>
      <x:c r="L136" s="136"/>
      <x:c r="M136" s="3"/>
      <x:c r="N136" s="3"/>
      <x:c r="O136" s="3"/>
      <x:c r="P136" s="3"/>
      <x:c r="Q136" s="3"/>
      <x:c r="R136" s="3"/>
    </x:row>
    <x:row r="137" ht="22" customHeight="1">
      <x:c r="A137" s="136"/>
      <x:c r="B137" s="136"/>
      <x:c r="C137" s="136"/>
      <x:c r="D137" s="136"/>
      <x:c r="E137" s="136"/>
      <x:c r="F137" s="136"/>
      <x:c r="G137" s="136"/>
      <x:c r="H137" s="136"/>
      <x:c r="I137" s="136"/>
      <x:c r="J137" s="136"/>
      <x:c r="K137" s="136"/>
      <x:c r="L137" s="136"/>
      <x:c r="M137" s="3"/>
      <x:c r="N137" s="3"/>
      <x:c r="O137" s="3"/>
      <x:c r="P137" s="3"/>
      <x:c r="Q137" s="3"/>
      <x:c r="R137" s="3"/>
    </x:row>
    <x:row r="138" ht="22" customHeight="1">
      <x:c r="A138" s="136" t="str">
        <x:v>Practised: staff lead tests, receive coaching and can raise concerns safely.</x:v>
      </x:c>
      <x:c r="B138" s="136"/>
      <x:c r="C138" s="136"/>
      <x:c r="D138" s="136"/>
      <x:c r="E138" s="136"/>
      <x:c r="F138" s="136"/>
      <x:c r="G138" s="136"/>
      <x:c r="H138" s="136"/>
      <x:c r="I138" s="136"/>
      <x:c r="J138" s="136"/>
      <x:c r="K138" s="136"/>
      <x:c r="L138" s="136"/>
      <x:c r="M138" s="3"/>
      <x:c r="N138" s="3"/>
      <x:c r="O138" s="3"/>
      <x:c r="P138" s="3"/>
      <x:c r="Q138" s="3"/>
      <x:c r="R138" s="3"/>
    </x:row>
    <x:row r="139" ht="22" customHeight="1">
      <x:c r="A139" s="136"/>
      <x:c r="B139" s="136"/>
      <x:c r="C139" s="136"/>
      <x:c r="D139" s="136"/>
      <x:c r="E139" s="136"/>
      <x:c r="F139" s="136"/>
      <x:c r="G139" s="136"/>
      <x:c r="H139" s="136"/>
      <x:c r="I139" s="136"/>
      <x:c r="J139" s="136"/>
      <x:c r="K139" s="136"/>
      <x:c r="L139" s="136"/>
      <x:c r="M139" s="3"/>
      <x:c r="N139" s="3"/>
      <x:c r="O139" s="3"/>
      <x:c r="P139" s="3"/>
      <x:c r="Q139" s="3"/>
      <x:c r="R139" s="3"/>
    </x:row>
    <x:row r="140" ht="22" customHeight="1">
      <x:c r="A140" s="136" t="str">
        <x:v>Embedded: capability is renewed across roles and cover; leaders develop people and reduce consultant dependency.</x:v>
      </x:c>
      <x:c r="B140" s="136"/>
      <x:c r="C140" s="136"/>
      <x:c r="D140" s="136"/>
      <x:c r="E140" s="136"/>
      <x:c r="F140" s="136"/>
      <x:c r="G140" s="136"/>
      <x:c r="H140" s="136"/>
      <x:c r="I140" s="136"/>
      <x:c r="J140" s="136"/>
      <x:c r="K140" s="136"/>
      <x:c r="L140" s="136"/>
      <x:c r="M140" s="3"/>
      <x:c r="N140" s="3"/>
      <x:c r="O140" s="3"/>
      <x:c r="P140" s="3"/>
      <x:c r="Q140" s="3"/>
      <x:c r="R140" s="3"/>
    </x:row>
    <x:row r="141" ht="22" customHeight="1">
      <x:c r="A141" s="136" t="str">
        <x:v>06  Review and safeguards</x:v>
      </x:c>
      <x:c r="B141" s="136"/>
      <x:c r="C141" s="136"/>
      <x:c r="D141" s="136" t="str">
        <x:v>Set evidence and limits of use.</x:v>
      </x:c>
      <x:c r="E141" s="136"/>
      <x:c r="F141" s="136"/>
      <x:c r="G141" s="136"/>
      <x:c r="H141" s="136"/>
      <x:c r="I141" s="136"/>
      <x:c r="J141" s="136"/>
      <x:c r="K141" s="136"/>
      <x:c r="L141" s="136"/>
      <x:c r="M141" s="3"/>
      <x:c r="N141" s="3"/>
      <x:c r="O141" s="3"/>
      <x:c r="P141" s="3"/>
      <x:c r="Q141" s="3"/>
      <x:c r="R141" s="3"/>
    </x:row>
    <x:row r="142" ht="22" customHeight="1">
      <x:c r="A142" s="150" t="str">
        <x:v>Reactive to Defined: protect participation and explain non-punitive observation. Defined to Practised: use C02 with staff-owned tests and observed practice. Practised to Embedded: develop internal coaches, cover capability and a sustained response to concerns.</x:v>
      </x:c>
      <x:c r="B142" s="150"/>
      <x:c r="C142" s="150"/>
      <x:c r="D142" s="150"/>
      <x:c r="E142" s="150"/>
      <x:c r="F142" s="150"/>
      <x:c r="G142" s="150"/>
      <x:c r="H142" s="150"/>
      <x:c r="I142" s="150"/>
      <x:c r="J142" s="150"/>
      <x:c r="K142" s="150"/>
      <x:c r="L142" s="150"/>
      <x:c r="M142" s="3"/>
      <x:c r="N142" s="3"/>
      <x:c r="O142" s="3"/>
      <x:c r="P142" s="3"/>
      <x:c r="Q142" s="3"/>
      <x:c r="R142" s="3"/>
    </x:row>
    <x:row r="143" ht="22" customHeight="1">
      <x:c r="A143" s="150"/>
      <x:c r="B143" s="150"/>
      <x:c r="C143" s="150"/>
      <x:c r="D143" s="150"/>
      <x:c r="E143" s="150"/>
      <x:c r="F143" s="150"/>
      <x:c r="G143" s="150"/>
      <x:c r="H143" s="150"/>
      <x:c r="I143" s="150"/>
      <x:c r="J143" s="150"/>
      <x:c r="K143" s="150"/>
      <x:c r="L143" s="150"/>
      <x:c r="M143" s="3"/>
      <x:c r="N143" s="3"/>
      <x:c r="O143" s="3"/>
      <x:c r="P143" s="3"/>
      <x:c r="Q143" s="3"/>
      <x:c r="R143" s="3"/>
    </x:row>
    <x:row r="144" ht="22" customHeight="1">
      <x:c r="A144" s="150"/>
      <x:c r="B144" s="150"/>
      <x:c r="C144" s="150"/>
      <x:c r="D144" s="150"/>
      <x:c r="E144" s="150"/>
      <x:c r="F144" s="150"/>
      <x:c r="G144" s="150"/>
      <x:c r="H144" s="150"/>
      <x:c r="I144" s="150"/>
      <x:c r="J144" s="150"/>
      <x:c r="K144" s="150"/>
      <x:c r="L144" s="150"/>
      <x:c r="M144" s="3"/>
      <x:c r="N144" s="3"/>
      <x:c r="O144" s="3"/>
      <x:c r="P144" s="3"/>
      <x:c r="Q144" s="3"/>
      <x:c r="R144" s="3"/>
    </x:row>
    <x:row r="145" ht="22" customHeight="1">
      <x:c r="A145" s="150"/>
      <x:c r="B145" s="150"/>
      <x:c r="C145" s="150"/>
      <x:c r="D145" s="150"/>
      <x:c r="E145" s="150"/>
      <x:c r="F145" s="150"/>
      <x:c r="G145" s="150"/>
      <x:c r="H145" s="150"/>
      <x:c r="I145" s="150"/>
      <x:c r="J145" s="150"/>
      <x:c r="K145" s="150"/>
      <x:c r="L145" s="150"/>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52" t="str">
        <x:v>COMPLETION CHECK: No norms, reliability or validity claims are made. Do not use the rubric for employee selection, appraisal or comparison between organisations. Unknown evidence should remain unknown rather than being converted to the lowest numerical score.</x:v>
      </x:c>
      <x:c r="B148" s="52"/>
      <x:c r="C148" s="52"/>
      <x:c r="D148" s="52"/>
      <x:c r="E148" s="52"/>
      <x:c r="F148" s="52"/>
      <x:c r="G148" s="52"/>
      <x:c r="H148" s="52"/>
      <x:c r="I148" s="52"/>
      <x:c r="J148" s="52"/>
      <x:c r="K148" s="52"/>
      <x:c r="L148" s="52"/>
      <x:c r="M148" s="3"/>
      <x:c r="N148" s="3"/>
      <x:c r="O148" s="3"/>
      <x:c r="P148" s="3"/>
      <x:c r="Q148" s="3"/>
      <x:c r="R148" s="3"/>
    </x:row>
    <x:row r="149" ht="20" customHeight="1">
      <x:c r="A149" s="52"/>
      <x:c r="B149" s="52"/>
      <x:c r="C149" s="52"/>
      <x:c r="D149" s="52"/>
      <x:c r="E149" s="52"/>
      <x:c r="F149" s="52"/>
      <x:c r="G149" s="52"/>
      <x:c r="H149" s="52"/>
      <x:c r="I149" s="52"/>
      <x:c r="J149" s="52"/>
      <x:c r="K149" s="52"/>
      <x:c r="L149" s="52"/>
      <x:c r="M149" s="3"/>
      <x:c r="N149" s="3"/>
      <x:c r="O149" s="3"/>
      <x:c r="P149" s="3"/>
      <x:c r="Q149" s="3"/>
      <x:c r="R149" s="3"/>
    </x:row>
    <x:row r="150" ht="20" customHeight="1">
      <x:c r="A150" s="52"/>
      <x:c r="B150" s="52"/>
      <x:c r="C150" s="52"/>
      <x:c r="D150" s="52"/>
      <x:c r="E150" s="52"/>
      <x:c r="F150" s="52"/>
      <x:c r="G150" s="52"/>
      <x:c r="H150" s="52"/>
      <x:c r="I150" s="52"/>
      <x:c r="J150" s="52"/>
      <x:c r="K150" s="52"/>
      <x:c r="L150" s="52"/>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58" t="str">
        <x:v>NEXT TOOLS: C01, C02, C06  |  METHOD SOURCES: U04, R14</x:v>
      </x:c>
      <x:c r="B152" s="58"/>
      <x:c r="C152" s="58"/>
      <x:c r="D152" s="58"/>
      <x:c r="E152" s="58"/>
      <x:c r="F152" s="58"/>
      <x:c r="G152" s="58"/>
      <x:c r="H152" s="58"/>
      <x:c r="I152" s="58"/>
      <x:c r="J152" s="58"/>
      <x:c r="K152" s="58"/>
      <x:c r="L152" s="58"/>
      <x:c r="M152" s="3"/>
      <x:c r="N152" s="3"/>
      <x:c r="O152" s="3"/>
      <x:c r="P152" s="3"/>
      <x:c r="Q152" s="3"/>
      <x:c r="R152" s="3"/>
    </x:row>
    <x:row r="153" ht="20" customHeight="1">
      <x:c r="A153" s="58"/>
      <x:c r="B153" s="58"/>
      <x:c r="C153" s="58"/>
      <x:c r="D153" s="58"/>
      <x:c r="E153" s="58"/>
      <x:c r="F153" s="58"/>
      <x:c r="G153" s="58"/>
      <x:c r="H153" s="58"/>
      <x:c r="I153" s="58"/>
      <x:c r="J153" s="58"/>
      <x:c r="K153" s="58"/>
      <x:c r="L153" s="58"/>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10:L110"/>
    <x:mergeCell ref="A111:C112"/>
    <x:mergeCell ref="D111:L112"/>
    <x:mergeCell ref="A113:L115"/>
    <x:mergeCell ref="A117:C118"/>
    <x:mergeCell ref="D117:L118"/>
    <x:mergeCell ref="A119:L121"/>
    <x:mergeCell ref="A123:C124"/>
    <x:mergeCell ref="D123:L124"/>
    <x:mergeCell ref="A125:L127"/>
    <x:mergeCell ref="A129:C130"/>
    <x:mergeCell ref="D129:L130"/>
    <x:mergeCell ref="A131:L133"/>
    <x:mergeCell ref="A135:C136"/>
    <x:mergeCell ref="D135:L136"/>
    <x:mergeCell ref="A137:L139"/>
    <x:mergeCell ref="A141:C142"/>
    <x:mergeCell ref="D141:L142"/>
    <x:mergeCell ref="A143:L145"/>
    <x:mergeCell ref="A148:L150"/>
    <x:mergeCell ref="A152:L153"/>
    <x:mergeCell ref="A19:L24"/>
    <x:mergeCell ref="A54:L55"/>
    <x:mergeCell ref="A57:L58"/>
    <x:mergeCell ref="A59:L60"/>
    <x:mergeCell ref="A61:L62"/>
    <x:mergeCell ref="A63:L64"/>
    <x:mergeCell ref="A65:L66"/>
    <x:mergeCell ref="A67:L70"/>
    <x:mergeCell ref="A72:L73"/>
    <x:mergeCell ref="A74:L75"/>
    <x:mergeCell ref="A76:L77"/>
    <x:mergeCell ref="A78:L79"/>
    <x:mergeCell ref="A80:L81"/>
    <x:mergeCell ref="A82:L85"/>
    <x:mergeCell ref="A87:L88"/>
    <x:mergeCell ref="A89:L90"/>
    <x:mergeCell ref="A91:L92"/>
    <x:mergeCell ref="A93:L94"/>
    <x:mergeCell ref="A95:L96"/>
    <x:mergeCell ref="A97:L100"/>
    <x:mergeCell ref="A102:L103"/>
    <x:mergeCell ref="A104:L105"/>
    <x:mergeCell ref="A106:L107"/>
    <x:mergeCell ref="A108:L109"/>
    <x:mergeCell ref="A110:L111"/>
    <x:mergeCell ref="A112:L115"/>
    <x:mergeCell ref="A117:L118"/>
    <x:mergeCell ref="A119:L120"/>
    <x:mergeCell ref="A121:L122"/>
    <x:mergeCell ref="A123:L124"/>
    <x:mergeCell ref="A125:L126"/>
    <x:mergeCell ref="A127:L130"/>
    <x:mergeCell ref="A132:L133"/>
    <x:mergeCell ref="A134:L135"/>
    <x:mergeCell ref="A136:L137"/>
    <x:mergeCell ref="A138:L139"/>
    <x:mergeCell ref="A140:L141"/>
    <x:mergeCell ref="A142:L145"/>
  </x:mergeCells>
  <x:dataValidations count="2">
    <x:dataValidation type="list" sqref="B10:B15">
      <x:formula1>"Unknown,Reactive,Defined,Practised,Embedded"</x:formula1>
    </x:dataValidation>
    <x:dataValidation type="list" sqref="D10:D15">
      <x:formula1>"Low,Moderate,High"</x:formula1>
    </x:dataValidation>
  </x:dataValidations>
  <x:pageMargins left="0.7" right="0.7" top="0.75" bottom="0.75" header="0.3" footer="0.3"/>
</x:worksheet>
</file>

<file path=xl/worksheets/sheet86.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C06  Sustainability and improvement portfolio review</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Review value, learning, capacity and ownership after the initial project attention has faded.</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5" customHeight="1">
      <x:c r="A9" s="34" t="str">
        <x:v>WORKING RECORD  |  C06</x:v>
      </x:c>
      <x:c r="B9" s="34"/>
      <x:c r="C9" s="34"/>
      <x:c r="D9" s="34"/>
      <x:c r="E9" s="34"/>
      <x:c r="F9" s="34"/>
      <x:c r="G9" s="34"/>
      <x:c r="H9" s="34"/>
      <x:c r="I9" s="34"/>
      <x:c r="J9" s="34"/>
      <x:c r="K9" s="34"/>
      <x:c r="L9" s="34"/>
      <x:c r="M9" s="3"/>
      <x:c r="N9" s="3"/>
      <x:c r="O9" s="3"/>
      <x:c r="P9" s="3"/>
      <x:c r="Q9" s="3"/>
      <x:c r="R9" s="3"/>
    </x:row>
    <x:row r="10" ht="20" customHeight="1">
      <x:c r="A10" s="40" t="str">
        <x:v>01  Outcome and quality</x:v>
      </x:c>
      <x:c r="B10" s="40"/>
      <x:c r="C10" s="40"/>
      <x:c r="D10" s="17" t="str">
        <x:v>Review service evidence over a stated period.</x:v>
      </x:c>
      <x:c r="E10" s="17"/>
      <x:c r="F10" s="17"/>
      <x:c r="G10" s="17"/>
      <x:c r="H10" s="17"/>
      <x:c r="I10" s="17"/>
      <x:c r="J10" s="17"/>
      <x:c r="K10" s="17"/>
      <x:c r="L10" s="17"/>
      <x:c r="M10" s="3"/>
      <x:c r="N10" s="3"/>
      <x:c r="O10" s="3"/>
      <x:c r="P10" s="3"/>
      <x:c r="Q10" s="3"/>
      <x:c r="R10" s="3"/>
    </x:row>
    <x:row r="11" ht="20" customHeight="1">
      <x:c r="A11" s="40"/>
      <x:c r="B11" s="40"/>
      <x:c r="C11" s="40"/>
      <x:c r="D11" s="17"/>
      <x:c r="E11" s="17"/>
      <x:c r="F11" s="17"/>
      <x:c r="G11" s="17"/>
      <x:c r="H11" s="17"/>
      <x:c r="I11" s="17"/>
      <x:c r="J11" s="17"/>
      <x:c r="K11" s="17"/>
      <x:c r="L11" s="17"/>
      <x:c r="M11" s="3"/>
      <x:c r="N11" s="3"/>
      <x:c r="O11" s="3"/>
      <x:c r="P11" s="3"/>
      <x:c r="Q11" s="3"/>
      <x:c r="R11" s="3"/>
    </x:row>
    <x:row r="12" ht="20" customHeight="1">
      <x:c r="A12" s="46"/>
      <x:c r="B12" s="46"/>
      <x:c r="C12" s="46"/>
      <x:c r="D12" s="46"/>
      <x:c r="E12" s="46"/>
      <x:c r="F12" s="46"/>
      <x:c r="G12" s="46"/>
      <x:c r="H12" s="46"/>
      <x:c r="I12" s="46"/>
      <x:c r="J12" s="46"/>
      <x:c r="K12" s="46"/>
      <x:c r="L12" s="46"/>
      <x:c r="M12" s="3"/>
      <x:c r="N12" s="3"/>
      <x:c r="O12" s="3"/>
      <x:c r="P12" s="3"/>
      <x:c r="Q12" s="3"/>
      <x:c r="R12" s="3"/>
    </x:row>
    <x:row r="13" ht="20" customHeight="1">
      <x:c r="A13" s="46"/>
      <x:c r="B13" s="46"/>
      <x:c r="C13" s="46"/>
      <x:c r="D13" s="46"/>
      <x:c r="E13" s="46"/>
      <x:c r="F13" s="46"/>
      <x:c r="G13" s="46"/>
      <x:c r="H13" s="46"/>
      <x:c r="I13" s="46"/>
      <x:c r="J13" s="46"/>
      <x:c r="K13" s="46"/>
      <x:c r="L13" s="46"/>
      <x:c r="M13" s="3"/>
      <x:c r="N13" s="3"/>
      <x:c r="O13" s="3"/>
      <x:c r="P13" s="3"/>
      <x:c r="Q13" s="3"/>
      <x:c r="R13" s="3"/>
    </x:row>
    <x:row r="14" ht="20" customHeight="1">
      <x:c r="A14" s="46"/>
      <x:c r="B14" s="46"/>
      <x:c r="C14" s="46"/>
      <x:c r="D14" s="46"/>
      <x:c r="E14" s="46"/>
      <x:c r="F14" s="46"/>
      <x:c r="G14" s="46"/>
      <x:c r="H14" s="46"/>
      <x:c r="I14" s="46"/>
      <x:c r="J14" s="46"/>
      <x:c r="K14" s="46"/>
      <x:c r="L14" s="46"/>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40" t="str">
        <x:v>02  People and capability</x:v>
      </x:c>
      <x:c r="B16" s="40"/>
      <x:c r="C16" s="40"/>
      <x:c r="D16" s="17" t="str">
        <x:v>Check access, burden and problem solving.</x:v>
      </x:c>
      <x:c r="E16" s="17"/>
      <x:c r="F16" s="17"/>
      <x:c r="G16" s="17"/>
      <x:c r="H16" s="17"/>
      <x:c r="I16" s="17"/>
      <x:c r="J16" s="17"/>
      <x:c r="K16" s="17"/>
      <x:c r="L16" s="17"/>
      <x:c r="M16" s="3"/>
      <x:c r="N16" s="3"/>
      <x:c r="O16" s="3"/>
      <x:c r="P16" s="3"/>
      <x:c r="Q16" s="3"/>
      <x:c r="R16" s="3"/>
    </x:row>
    <x:row r="17" ht="20" customHeight="1">
      <x:c r="A17" s="40"/>
      <x:c r="B17" s="40"/>
      <x:c r="C17" s="40"/>
      <x:c r="D17" s="17"/>
      <x:c r="E17" s="17"/>
      <x:c r="F17" s="17"/>
      <x:c r="G17" s="17"/>
      <x:c r="H17" s="17"/>
      <x:c r="I17" s="17"/>
      <x:c r="J17" s="17"/>
      <x:c r="K17" s="17"/>
      <x:c r="L17" s="17"/>
      <x:c r="M17" s="3"/>
      <x:c r="N17" s="3"/>
      <x:c r="O17" s="3"/>
      <x:c r="P17" s="3"/>
      <x:c r="Q17" s="3"/>
      <x:c r="R17" s="3"/>
    </x:row>
    <x:row r="18" ht="20" customHeight="1">
      <x:c r="A18" s="46"/>
      <x:c r="B18" s="46"/>
      <x:c r="C18" s="46"/>
      <x:c r="D18" s="46"/>
      <x:c r="E18" s="46"/>
      <x:c r="F18" s="46"/>
      <x:c r="G18" s="46"/>
      <x:c r="H18" s="46"/>
      <x:c r="I18" s="46"/>
      <x:c r="J18" s="46"/>
      <x:c r="K18" s="46"/>
      <x:c r="L18" s="46"/>
      <x:c r="M18" s="3"/>
      <x:c r="N18" s="3"/>
      <x:c r="O18" s="3"/>
      <x:c r="P18" s="3"/>
      <x:c r="Q18" s="3"/>
      <x:c r="R18" s="3"/>
    </x:row>
    <x:row r="19" ht="20" customHeight="1">
      <x:c r="A19" s="46"/>
      <x:c r="B19" s="46"/>
      <x:c r="C19" s="46"/>
      <x:c r="D19" s="46"/>
      <x:c r="E19" s="46"/>
      <x:c r="F19" s="46"/>
      <x:c r="G19" s="46"/>
      <x:c r="H19" s="46"/>
      <x:c r="I19" s="46"/>
      <x:c r="J19" s="46"/>
      <x:c r="K19" s="46"/>
      <x:c r="L19" s="46"/>
      <x:c r="M19" s="3"/>
      <x:c r="N19" s="3"/>
      <x:c r="O19" s="3"/>
      <x:c r="P19" s="3"/>
      <x:c r="Q19" s="3"/>
      <x:c r="R19" s="3"/>
    </x:row>
    <x:row r="20" ht="20" customHeight="1">
      <x:c r="A20" s="46"/>
      <x:c r="B20" s="46"/>
      <x:c r="C20" s="46"/>
      <x:c r="D20" s="46"/>
      <x:c r="E20" s="46"/>
      <x:c r="F20" s="46"/>
      <x:c r="G20" s="46"/>
      <x:c r="H20" s="46"/>
      <x:c r="I20" s="46"/>
      <x:c r="J20" s="46"/>
      <x:c r="K20" s="46"/>
      <x:c r="L20" s="46"/>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40" t="str">
        <x:v>03  Process and management</x:v>
      </x:c>
      <x:c r="B22" s="40"/>
      <x:c r="C22" s="40"/>
      <x:c r="D22" s="17" t="str">
        <x:v>Review standards and response routines.</x:v>
      </x:c>
      <x:c r="E22" s="17"/>
      <x:c r="F22" s="17"/>
      <x:c r="G22" s="17"/>
      <x:c r="H22" s="17"/>
      <x:c r="I22" s="17"/>
      <x:c r="J22" s="17"/>
      <x:c r="K22" s="17"/>
      <x:c r="L22" s="17"/>
      <x:c r="M22" s="3"/>
      <x:c r="N22" s="3"/>
      <x:c r="O22" s="3"/>
      <x:c r="P22" s="3"/>
      <x:c r="Q22" s="3"/>
      <x:c r="R22" s="3"/>
    </x:row>
    <x:row r="23" ht="20" customHeight="1">
      <x:c r="A23" s="40"/>
      <x:c r="B23" s="40"/>
      <x:c r="C23" s="40"/>
      <x:c r="D23" s="17"/>
      <x:c r="E23" s="17"/>
      <x:c r="F23" s="17"/>
      <x:c r="G23" s="17"/>
      <x:c r="H23" s="17"/>
      <x:c r="I23" s="17"/>
      <x:c r="J23" s="17"/>
      <x:c r="K23" s="17"/>
      <x:c r="L23" s="17"/>
      <x:c r="M23" s="3"/>
      <x:c r="N23" s="3"/>
      <x:c r="O23" s="3"/>
      <x:c r="P23" s="3"/>
      <x:c r="Q23" s="3"/>
      <x:c r="R23" s="3"/>
    </x:row>
    <x:row r="24" ht="20" customHeight="1">
      <x:c r="A24" s="46"/>
      <x:c r="B24" s="46"/>
      <x:c r="C24" s="46"/>
      <x:c r="D24" s="46"/>
      <x:c r="E24" s="46"/>
      <x:c r="F24" s="46"/>
      <x:c r="G24" s="46"/>
      <x:c r="H24" s="46"/>
      <x:c r="I24" s="46"/>
      <x:c r="J24" s="46"/>
      <x:c r="K24" s="46"/>
      <x:c r="L24" s="46"/>
      <x:c r="M24" s="3"/>
      <x:c r="N24" s="3"/>
      <x:c r="O24" s="3"/>
      <x:c r="P24" s="3"/>
      <x:c r="Q24" s="3"/>
      <x:c r="R24" s="3"/>
    </x:row>
    <x:row r="25" ht="20" customHeight="1">
      <x:c r="A25" s="46"/>
      <x:c r="B25" s="46"/>
      <x:c r="C25" s="46"/>
      <x:c r="D25" s="46"/>
      <x:c r="E25" s="46"/>
      <x:c r="F25" s="46"/>
      <x:c r="G25" s="46"/>
      <x:c r="H25" s="46"/>
      <x:c r="I25" s="46"/>
      <x:c r="J25" s="46"/>
      <x:c r="K25" s="46"/>
      <x:c r="L25" s="46"/>
      <x:c r="M25" s="3"/>
      <x:c r="N25" s="3"/>
      <x:c r="O25" s="3"/>
      <x:c r="P25" s="3"/>
      <x:c r="Q25" s="3"/>
      <x:c r="R25" s="3"/>
    </x:row>
    <x:row r="26" ht="20" customHeight="1">
      <x:c r="A26" s="46"/>
      <x:c r="B26" s="46"/>
      <x:c r="C26" s="46"/>
      <x:c r="D26" s="46"/>
      <x:c r="E26" s="46"/>
      <x:c r="F26" s="46"/>
      <x:c r="G26" s="46"/>
      <x:c r="H26" s="46"/>
      <x:c r="I26" s="46"/>
      <x:c r="J26" s="46"/>
      <x:c r="K26" s="46"/>
      <x:c r="L26" s="46"/>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40" t="str">
        <x:v>04  Benefits and resources</x:v>
      </x:c>
      <x:c r="B28" s="40"/>
      <x:c r="C28" s="40"/>
      <x:c r="D28" s="17" t="str">
        <x:v>Separate actual and estimated effects.</x:v>
      </x:c>
      <x:c r="E28" s="17"/>
      <x:c r="F28" s="17"/>
      <x:c r="G28" s="17"/>
      <x:c r="H28" s="17"/>
      <x:c r="I28" s="17"/>
      <x:c r="J28" s="17"/>
      <x:c r="K28" s="17"/>
      <x:c r="L28" s="17"/>
      <x:c r="M28" s="3"/>
      <x:c r="N28" s="3"/>
      <x:c r="O28" s="3"/>
      <x:c r="P28" s="3"/>
      <x:c r="Q28" s="3"/>
      <x:c r="R28" s="3"/>
    </x:row>
    <x:row r="29" ht="20" customHeight="1">
      <x:c r="A29" s="40"/>
      <x:c r="B29" s="40"/>
      <x:c r="C29" s="40"/>
      <x:c r="D29" s="17"/>
      <x:c r="E29" s="17"/>
      <x:c r="F29" s="17"/>
      <x:c r="G29" s="17"/>
      <x:c r="H29" s="17"/>
      <x:c r="I29" s="17"/>
      <x:c r="J29" s="17"/>
      <x:c r="K29" s="17"/>
      <x:c r="L29" s="17"/>
      <x:c r="M29" s="3"/>
      <x:c r="N29" s="3"/>
      <x:c r="O29" s="3"/>
      <x:c r="P29" s="3"/>
      <x:c r="Q29" s="3"/>
      <x:c r="R29" s="3"/>
    </x:row>
    <x:row r="30" ht="20" customHeight="1">
      <x:c r="A30" s="46"/>
      <x:c r="B30" s="46"/>
      <x:c r="C30" s="46"/>
      <x:c r="D30" s="46"/>
      <x:c r="E30" s="46"/>
      <x:c r="F30" s="46"/>
      <x:c r="G30" s="46"/>
      <x:c r="H30" s="46"/>
      <x:c r="I30" s="46"/>
      <x:c r="J30" s="46"/>
      <x:c r="K30" s="46"/>
      <x:c r="L30" s="46"/>
      <x:c r="M30" s="3"/>
      <x:c r="N30" s="3"/>
      <x:c r="O30" s="3"/>
      <x:c r="P30" s="3"/>
      <x:c r="Q30" s="3"/>
      <x:c r="R30" s="3"/>
    </x:row>
    <x:row r="31" ht="20" customHeight="1">
      <x:c r="A31" s="46"/>
      <x:c r="B31" s="46"/>
      <x:c r="C31" s="46"/>
      <x:c r="D31" s="46"/>
      <x:c r="E31" s="46"/>
      <x:c r="F31" s="46"/>
      <x:c r="G31" s="46"/>
      <x:c r="H31" s="46"/>
      <x:c r="I31" s="46"/>
      <x:c r="J31" s="46"/>
      <x:c r="K31" s="46"/>
      <x:c r="L31" s="46"/>
      <x:c r="M31" s="3"/>
      <x:c r="N31" s="3"/>
      <x:c r="O31" s="3"/>
      <x:c r="P31" s="3"/>
      <x:c r="Q31" s="3"/>
      <x:c r="R31" s="3"/>
    </x:row>
    <x:row r="32" ht="20" customHeight="1">
      <x:c r="A32" s="46"/>
      <x:c r="B32" s="46"/>
      <x:c r="C32" s="46"/>
      <x:c r="D32" s="46"/>
      <x:c r="E32" s="46"/>
      <x:c r="F32" s="46"/>
      <x:c r="G32" s="46"/>
      <x:c r="H32" s="46"/>
      <x:c r="I32" s="46"/>
      <x:c r="J32" s="46"/>
      <x:c r="K32" s="46"/>
      <x:c r="L32" s="46"/>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40" t="str">
        <x:v>05  Portfolio decisions</x:v>
      </x:c>
      <x:c r="B34" s="40"/>
      <x:c r="C34" s="40"/>
      <x:c r="D34" s="17" t="str">
        <x:v>Make continuation and trade-offs explicit.</x:v>
      </x:c>
      <x:c r="E34" s="17"/>
      <x:c r="F34" s="17"/>
      <x:c r="G34" s="17"/>
      <x:c r="H34" s="17"/>
      <x:c r="I34" s="17"/>
      <x:c r="J34" s="17"/>
      <x:c r="K34" s="17"/>
      <x:c r="L34" s="17"/>
      <x:c r="M34" s="3"/>
      <x:c r="N34" s="3"/>
      <x:c r="O34" s="3"/>
      <x:c r="P34" s="3"/>
      <x:c r="Q34" s="3"/>
      <x:c r="R34" s="3"/>
    </x:row>
    <x:row r="35" ht="20" customHeight="1">
      <x:c r="A35" s="40"/>
      <x:c r="B35" s="40"/>
      <x:c r="C35" s="40"/>
      <x:c r="D35" s="17"/>
      <x:c r="E35" s="17"/>
      <x:c r="F35" s="17"/>
      <x:c r="G35" s="17"/>
      <x:c r="H35" s="17"/>
      <x:c r="I35" s="17"/>
      <x:c r="J35" s="17"/>
      <x:c r="K35" s="17"/>
      <x:c r="L35" s="17"/>
      <x:c r="M35" s="3"/>
      <x:c r="N35" s="3"/>
      <x:c r="O35" s="3"/>
      <x:c r="P35" s="3"/>
      <x:c r="Q35" s="3"/>
      <x:c r="R35" s="3"/>
    </x:row>
    <x:row r="36" ht="20" customHeight="1">
      <x:c r="A36" s="46"/>
      <x:c r="B36" s="46"/>
      <x:c r="C36" s="46"/>
      <x:c r="D36" s="46"/>
      <x:c r="E36" s="46"/>
      <x:c r="F36" s="46"/>
      <x:c r="G36" s="46"/>
      <x:c r="H36" s="46"/>
      <x:c r="I36" s="46"/>
      <x:c r="J36" s="46"/>
      <x:c r="K36" s="46"/>
      <x:c r="L36" s="46"/>
      <x:c r="M36" s="3"/>
      <x:c r="N36" s="3"/>
      <x:c r="O36" s="3"/>
      <x:c r="P36" s="3"/>
      <x:c r="Q36" s="3"/>
      <x:c r="R36" s="3"/>
    </x:row>
    <x:row r="37" ht="20" customHeight="1">
      <x:c r="A37" s="46"/>
      <x:c r="B37" s="46"/>
      <x:c r="C37" s="46"/>
      <x:c r="D37" s="46"/>
      <x:c r="E37" s="46"/>
      <x:c r="F37" s="46"/>
      <x:c r="G37" s="46"/>
      <x:c r="H37" s="46"/>
      <x:c r="I37" s="46"/>
      <x:c r="J37" s="46"/>
      <x:c r="K37" s="46"/>
      <x:c r="L37" s="46"/>
      <x:c r="M37" s="3"/>
      <x:c r="N37" s="3"/>
      <x:c r="O37" s="3"/>
      <x:c r="P37" s="3"/>
      <x:c r="Q37" s="3"/>
      <x:c r="R37" s="3"/>
    </x:row>
    <x:row r="38" ht="20" customHeight="1">
      <x:c r="A38" s="46"/>
      <x:c r="B38" s="46"/>
      <x:c r="C38" s="46"/>
      <x:c r="D38" s="46"/>
      <x:c r="E38" s="46"/>
      <x:c r="F38" s="46"/>
      <x:c r="G38" s="46"/>
      <x:c r="H38" s="46"/>
      <x:c r="I38" s="46"/>
      <x:c r="J38" s="46"/>
      <x:c r="K38" s="46"/>
      <x:c r="L38" s="46"/>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40" t="str">
        <x:v>06  Ownership and next review</x:v>
      </x:c>
      <x:c r="B40" s="40"/>
      <x:c r="C40" s="40"/>
      <x:c r="D40" s="17" t="str">
        <x:v>Record the sustainable operating agreement.</x:v>
      </x:c>
      <x:c r="E40" s="17"/>
      <x:c r="F40" s="17"/>
      <x:c r="G40" s="17"/>
      <x:c r="H40" s="17"/>
      <x:c r="I40" s="17"/>
      <x:c r="J40" s="17"/>
      <x:c r="K40" s="17"/>
      <x:c r="L40" s="17"/>
      <x:c r="M40" s="3"/>
      <x:c r="N40" s="3"/>
      <x:c r="O40" s="3"/>
      <x:c r="P40" s="3"/>
      <x:c r="Q40" s="3"/>
      <x:c r="R40" s="3"/>
    </x:row>
    <x:row r="41" ht="20" customHeight="1">
      <x:c r="A41" s="40"/>
      <x:c r="B41" s="40"/>
      <x:c r="C41" s="40"/>
      <x:c r="D41" s="17"/>
      <x:c r="E41" s="17"/>
      <x:c r="F41" s="17"/>
      <x:c r="G41" s="17"/>
      <x:c r="H41" s="17"/>
      <x:c r="I41" s="17"/>
      <x:c r="J41" s="17"/>
      <x:c r="K41" s="17"/>
      <x:c r="L41" s="17"/>
      <x:c r="M41" s="3"/>
      <x:c r="N41" s="3"/>
      <x:c r="O41" s="3"/>
      <x:c r="P41" s="3"/>
      <x:c r="Q41" s="3"/>
      <x:c r="R41" s="3"/>
    </x:row>
    <x:row r="42" ht="20" customHeight="1">
      <x:c r="A42" s="46"/>
      <x:c r="B42" s="46"/>
      <x:c r="C42" s="46"/>
      <x:c r="D42" s="46"/>
      <x:c r="E42" s="46"/>
      <x:c r="F42" s="46"/>
      <x:c r="G42" s="46"/>
      <x:c r="H42" s="46"/>
      <x:c r="I42" s="46"/>
      <x:c r="J42" s="46"/>
      <x:c r="K42" s="46"/>
      <x:c r="L42" s="46"/>
      <x:c r="M42" s="3"/>
      <x:c r="N42" s="3"/>
      <x:c r="O42" s="3"/>
      <x:c r="P42" s="3"/>
      <x:c r="Q42" s="3"/>
      <x:c r="R42" s="3"/>
    </x:row>
    <x:row r="43" ht="20" customHeight="1">
      <x:c r="A43" s="46"/>
      <x:c r="B43" s="46"/>
      <x:c r="C43" s="46"/>
      <x:c r="D43" s="46"/>
      <x:c r="E43" s="46"/>
      <x:c r="F43" s="46"/>
      <x:c r="G43" s="46"/>
      <x:c r="H43" s="46"/>
      <x:c r="I43" s="46"/>
      <x:c r="J43" s="46"/>
      <x:c r="K43" s="46"/>
      <x:c r="L43" s="46"/>
      <x:c r="M43" s="3"/>
      <x:c r="N43" s="3"/>
      <x:c r="O43" s="3"/>
      <x:c r="P43" s="3"/>
      <x:c r="Q43" s="3"/>
      <x:c r="R43" s="3"/>
    </x:row>
    <x:row r="44" ht="20" customHeight="1">
      <x:c r="A44" s="46"/>
      <x:c r="B44" s="46"/>
      <x:c r="C44" s="46"/>
      <x:c r="D44" s="46"/>
      <x:c r="E44" s="46"/>
      <x:c r="F44" s="46"/>
      <x:c r="G44" s="46"/>
      <x:c r="H44" s="46"/>
      <x:c r="I44" s="46"/>
      <x:c r="J44" s="46"/>
      <x:c r="K44" s="46"/>
      <x:c r="L44" s="46"/>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52" t="str">
        <x:v>COMPLETION CHECK: A sustainability score or green dashboard is not causal proof. Do not continue an initiative solely because it is already funded, or declare benefits realised because the implementation tasks are complete.</x:v>
      </x:c>
      <x:c r="B47" s="52"/>
      <x:c r="C47" s="52"/>
      <x:c r="D47" s="52"/>
      <x:c r="E47" s="52"/>
      <x:c r="F47" s="52"/>
      <x:c r="G47" s="52"/>
      <x:c r="H47" s="52"/>
      <x:c r="I47" s="52"/>
      <x:c r="J47" s="52"/>
      <x:c r="K47" s="52"/>
      <x:c r="L47" s="52"/>
      <x:c r="M47" s="3"/>
      <x:c r="N47" s="3"/>
      <x:c r="O47" s="3"/>
      <x:c r="P47" s="3"/>
      <x:c r="Q47" s="3"/>
      <x:c r="R47" s="3"/>
    </x:row>
    <x:row r="48" ht="20" customHeight="1">
      <x:c r="A48" s="52"/>
      <x:c r="B48" s="52"/>
      <x:c r="C48" s="52"/>
      <x:c r="D48" s="52"/>
      <x:c r="E48" s="52"/>
      <x:c r="F48" s="52"/>
      <x:c r="G48" s="52"/>
      <x:c r="H48" s="52"/>
      <x:c r="I48" s="52"/>
      <x:c r="J48" s="52"/>
      <x:c r="K48" s="52"/>
      <x:c r="L48" s="52"/>
      <x:c r="M48" s="3"/>
      <x:c r="N48" s="3"/>
      <x:c r="O48" s="3"/>
      <x:c r="P48" s="3"/>
      <x:c r="Q48" s="3"/>
      <x:c r="R48" s="3"/>
    </x:row>
    <x:row r="49" ht="20" customHeight="1">
      <x:c r="A49" s="52"/>
      <x:c r="B49" s="52"/>
      <x:c r="C49" s="52"/>
      <x:c r="D49" s="52"/>
      <x:c r="E49" s="52"/>
      <x:c r="F49" s="52"/>
      <x:c r="G49" s="52"/>
      <x:c r="H49" s="52"/>
      <x:c r="I49" s="52"/>
      <x:c r="J49" s="52"/>
      <x:c r="K49" s="52"/>
      <x:c r="L49" s="52"/>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58" t="str">
        <x:v>NEXT TOOLS: A08, V06, V05  |  METHOD SOURCES: U04, R12, R31, R32</x:v>
      </x:c>
      <x:c r="B51" s="58"/>
      <x:c r="C51" s="58"/>
      <x:c r="D51" s="58"/>
      <x:c r="E51" s="58"/>
      <x:c r="F51" s="58"/>
      <x:c r="G51" s="58"/>
      <x:c r="H51" s="58"/>
      <x:c r="I51" s="58"/>
      <x:c r="J51" s="58"/>
      <x:c r="K51" s="58"/>
      <x:c r="L51" s="58"/>
      <x:c r="M51" s="3"/>
      <x:c r="N51" s="3"/>
      <x:c r="O51" s="3"/>
      <x:c r="P51" s="3"/>
      <x:c r="Q51" s="3"/>
      <x:c r="R51" s="3"/>
    </x:row>
    <x:row r="52" ht="20" customHeight="1">
      <x:c r="A52" s="58"/>
      <x:c r="B52" s="58"/>
      <x:c r="C52" s="58"/>
      <x:c r="D52" s="58"/>
      <x:c r="E52" s="58"/>
      <x:c r="F52" s="58"/>
      <x:c r="G52" s="58"/>
      <x:c r="H52" s="58"/>
      <x:c r="I52" s="58"/>
      <x:c r="J52" s="58"/>
      <x:c r="K52" s="58"/>
      <x:c r="L52" s="58"/>
      <x:c r="M52" s="3"/>
      <x:c r="N52" s="3"/>
      <x:c r="O52" s="3"/>
      <x:c r="P52" s="3"/>
      <x:c r="Q52" s="3"/>
      <x:c r="R52" s="3"/>
    </x:row>
    <x:row r="53" ht="20" customHeight="1">
      <x:c r="A53" s="34" t="str">
        <x:v>LIVE WORKING REGISTER | Add evidence, ownership and a review date.</x:v>
      </x:c>
      <x:c r="B53" s="34"/>
      <x:c r="C53" s="34"/>
      <x:c r="D53" s="34"/>
      <x:c r="E53" s="34"/>
      <x:c r="F53" s="34"/>
      <x:c r="G53" s="34"/>
      <x:c r="H53" s="34"/>
      <x:c r="I53" s="34"/>
      <x:c r="J53" s="34"/>
      <x:c r="K53" s="34"/>
      <x:c r="L53" s="34"/>
      <x:c r="M53" s="3"/>
      <x:c r="N53" s="3"/>
      <x:c r="O53" s="3"/>
      <x:c r="P53" s="3"/>
      <x:c r="Q53" s="3"/>
      <x:c r="R53" s="3"/>
    </x:row>
    <x:row r="54" ht="20" customHeight="1">
      <x:c r="A54" s="34"/>
      <x:c r="B54" s="34"/>
      <x:c r="C54" s="34"/>
      <x:c r="D54" s="34"/>
      <x:c r="E54" s="34"/>
      <x:c r="F54" s="34"/>
      <x:c r="G54" s="34"/>
      <x:c r="H54" s="34"/>
      <x:c r="I54" s="34"/>
      <x:c r="J54" s="34"/>
      <x:c r="K54" s="34"/>
      <x:c r="L54" s="34"/>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38" customHeight="1">
      <x:c r="A56" s="77" t="str">
        <x:v>Improvement</x:v>
      </x:c>
      <x:c r="B56" s="77" t="str">
        <x:v>Adoption evidence</x:v>
      </x:c>
      <x:c r="C56" s="77" t="str">
        <x:v>Outcome trend</x:v>
      </x:c>
      <x:c r="D56" s="77" t="str">
        <x:v>Balancing evidence</x:v>
      </x:c>
      <x:c r="E56" s="77" t="str">
        <x:v>Operational owner</x:v>
      </x:c>
      <x:c r="F56" s="77" t="str">
        <x:v>Open concern</x:v>
      </x:c>
      <x:c r="G56" s="77" t="str">
        <x:v>Next review</x:v>
      </x:c>
      <x:c r="H56" s="77" t="str">
        <x:v>Sustain/adapt/stop</x:v>
      </x:c>
      <x:c r="I56" s="3"/>
      <x:c r="J56" s="3"/>
      <x:c r="K56" s="3"/>
      <x:c r="L56" s="3"/>
      <x:c r="M56" s="3"/>
      <x:c r="N56" s="3"/>
      <x:c r="O56" s="3"/>
      <x:c r="P56" s="3"/>
      <x:c r="Q56" s="3"/>
      <x:c r="R56" s="3"/>
    </x:row>
    <x:row r="57" ht="34" customHeight="1">
      <x:c r="A57" s="46"/>
      <x:c r="B57" s="46"/>
      <x:c r="C57" s="46"/>
      <x:c r="D57" s="46"/>
      <x:c r="E57" s="46"/>
      <x:c r="F57" s="46"/>
      <x:c r="G57" s="46"/>
      <x:c r="H57" s="46"/>
      <x:c r="I57" s="3"/>
      <x:c r="J57" s="3"/>
      <x:c r="K57" s="3"/>
      <x:c r="L57" s="3"/>
      <x:c r="M57" s="3"/>
      <x:c r="N57" s="3"/>
      <x:c r="O57" s="3"/>
      <x:c r="P57" s="3"/>
      <x:c r="Q57" s="3"/>
      <x:c r="R57" s="3"/>
    </x:row>
    <x:row r="58" ht="34" customHeight="1">
      <x:c r="A58" s="46"/>
      <x:c r="B58" s="46"/>
      <x:c r="C58" s="46"/>
      <x:c r="D58" s="46"/>
      <x:c r="E58" s="46"/>
      <x:c r="F58" s="46"/>
      <x:c r="G58" s="46"/>
      <x:c r="H58" s="46"/>
      <x:c r="I58" s="3"/>
      <x:c r="J58" s="3"/>
      <x:c r="K58" s="3"/>
      <x:c r="L58" s="3"/>
      <x:c r="M58" s="3"/>
      <x:c r="N58" s="3"/>
      <x:c r="O58" s="3"/>
      <x:c r="P58" s="3"/>
      <x:c r="Q58" s="3"/>
      <x:c r="R58" s="3"/>
    </x:row>
    <x:row r="59" ht="34" customHeight="1">
      <x:c r="A59" s="46"/>
      <x:c r="B59" s="46"/>
      <x:c r="C59" s="46"/>
      <x:c r="D59" s="46"/>
      <x:c r="E59" s="46"/>
      <x:c r="F59" s="46"/>
      <x:c r="G59" s="46"/>
      <x:c r="H59" s="46"/>
      <x:c r="I59" s="3"/>
      <x:c r="J59" s="3"/>
      <x:c r="K59" s="3"/>
      <x:c r="L59" s="3"/>
      <x:c r="M59" s="3"/>
      <x:c r="N59" s="3"/>
      <x:c r="O59" s="3"/>
      <x:c r="P59" s="3"/>
      <x:c r="Q59" s="3"/>
      <x:c r="R59" s="3"/>
    </x:row>
    <x:row r="60" ht="34" customHeight="1">
      <x:c r="A60" s="46"/>
      <x:c r="B60" s="46"/>
      <x:c r="C60" s="46"/>
      <x:c r="D60" s="46"/>
      <x:c r="E60" s="46"/>
      <x:c r="F60" s="46"/>
      <x:c r="G60" s="46"/>
      <x:c r="H60" s="46"/>
      <x:c r="I60" s="3"/>
      <x:c r="J60" s="3"/>
      <x:c r="K60" s="3"/>
      <x:c r="L60" s="3"/>
      <x:c r="M60" s="3"/>
      <x:c r="N60" s="3"/>
      <x:c r="O60" s="3"/>
      <x:c r="P60" s="3"/>
      <x:c r="Q60" s="3"/>
      <x:c r="R60" s="3"/>
    </x:row>
    <x:row r="61" ht="34" customHeight="1">
      <x:c r="A61" s="46"/>
      <x:c r="B61" s="46"/>
      <x:c r="C61" s="46"/>
      <x:c r="D61" s="46"/>
      <x:c r="E61" s="46"/>
      <x:c r="F61" s="46"/>
      <x:c r="G61" s="46"/>
      <x:c r="H61" s="46"/>
      <x:c r="I61" s="3"/>
      <x:c r="J61" s="3"/>
      <x:c r="K61" s="3"/>
      <x:c r="L61" s="3"/>
      <x:c r="M61" s="3"/>
      <x:c r="N61" s="3"/>
      <x:c r="O61" s="3"/>
      <x:c r="P61" s="3"/>
      <x:c r="Q61" s="3"/>
      <x:c r="R61" s="3"/>
    </x:row>
    <x:row r="62" ht="34" customHeight="1">
      <x:c r="A62" s="46"/>
      <x:c r="B62" s="46"/>
      <x:c r="C62" s="46"/>
      <x:c r="D62" s="46"/>
      <x:c r="E62" s="46"/>
      <x:c r="F62" s="46"/>
      <x:c r="G62" s="46"/>
      <x:c r="H62" s="46"/>
      <x:c r="I62" s="3"/>
      <x:c r="J62" s="3"/>
      <x:c r="K62" s="3"/>
      <x:c r="L62" s="3"/>
      <x:c r="M62" s="3"/>
      <x:c r="N62" s="3"/>
      <x:c r="O62" s="3"/>
      <x:c r="P62" s="3"/>
      <x:c r="Q62" s="3"/>
      <x:c r="R62" s="3"/>
    </x:row>
    <x:row r="63" ht="34" customHeight="1">
      <x:c r="A63" s="46"/>
      <x:c r="B63" s="46"/>
      <x:c r="C63" s="46"/>
      <x:c r="D63" s="46"/>
      <x:c r="E63" s="46"/>
      <x:c r="F63" s="46"/>
      <x:c r="G63" s="46"/>
      <x:c r="H63" s="46"/>
      <x:c r="I63" s="3"/>
      <x:c r="J63" s="3"/>
      <x:c r="K63" s="3"/>
      <x:c r="L63" s="3"/>
      <x:c r="M63" s="3"/>
      <x:c r="N63" s="3"/>
      <x:c r="O63" s="3"/>
      <x:c r="P63" s="3"/>
      <x:c r="Q63" s="3"/>
      <x:c r="R63" s="3"/>
    </x:row>
    <x:row r="64" ht="34" customHeight="1">
      <x:c r="A64" s="46"/>
      <x:c r="B64" s="46"/>
      <x:c r="C64" s="46"/>
      <x:c r="D64" s="46"/>
      <x:c r="E64" s="46"/>
      <x:c r="F64" s="46"/>
      <x:c r="G64" s="46"/>
      <x:c r="H64" s="46"/>
      <x:c r="I64" s="3"/>
      <x:c r="J64" s="3"/>
      <x:c r="K64" s="3"/>
      <x:c r="L64" s="3"/>
      <x:c r="M64" s="3"/>
      <x:c r="N64" s="3"/>
      <x:c r="O64" s="3"/>
      <x:c r="P64" s="3"/>
      <x:c r="Q64" s="3"/>
      <x:c r="R64" s="3"/>
    </x:row>
    <x:row r="65" ht="34" customHeight="1">
      <x:c r="A65" s="46"/>
      <x:c r="B65" s="46"/>
      <x:c r="C65" s="46"/>
      <x:c r="D65" s="46"/>
      <x:c r="E65" s="46"/>
      <x:c r="F65" s="46"/>
      <x:c r="G65" s="46"/>
      <x:c r="H65" s="46"/>
      <x:c r="I65" s="3"/>
      <x:c r="J65" s="3"/>
      <x:c r="K65" s="3"/>
      <x:c r="L65" s="3"/>
      <x:c r="M65" s="3"/>
      <x:c r="N65" s="3"/>
      <x:c r="O65" s="3"/>
      <x:c r="P65" s="3"/>
      <x:c r="Q65" s="3"/>
      <x:c r="R65" s="3"/>
    </x:row>
    <x:row r="66" ht="34" customHeight="1">
      <x:c r="A66" s="46"/>
      <x:c r="B66" s="46"/>
      <x:c r="C66" s="46"/>
      <x:c r="D66" s="46"/>
      <x:c r="E66" s="46"/>
      <x:c r="F66" s="46"/>
      <x:c r="G66" s="46"/>
      <x:c r="H66" s="46"/>
      <x:c r="I66" s="3"/>
      <x:c r="J66" s="3"/>
      <x:c r="K66" s="3"/>
      <x:c r="L66" s="3"/>
      <x:c r="M66" s="3"/>
      <x:c r="N66" s="3"/>
      <x:c r="O66" s="3"/>
      <x:c r="P66" s="3"/>
      <x:c r="Q66" s="3"/>
      <x:c r="R66" s="3"/>
    </x:row>
    <x:row r="67" ht="34" customHeight="1">
      <x:c r="A67" s="46"/>
      <x:c r="B67" s="46"/>
      <x:c r="C67" s="46"/>
      <x:c r="D67" s="46"/>
      <x:c r="E67" s="46"/>
      <x:c r="F67" s="46"/>
      <x:c r="G67" s="46"/>
      <x:c r="H67" s="46"/>
      <x:c r="I67" s="3"/>
      <x:c r="J67" s="3"/>
      <x:c r="K67" s="3"/>
      <x:c r="L67" s="3"/>
      <x:c r="M67" s="3"/>
      <x:c r="N67" s="3"/>
      <x:c r="O67" s="3"/>
      <x:c r="P67" s="3"/>
      <x:c r="Q67" s="3"/>
      <x:c r="R67" s="3"/>
    </x:row>
    <x:row r="68" ht="34" customHeight="1">
      <x:c r="A68" s="46"/>
      <x:c r="B68" s="46"/>
      <x:c r="C68" s="46"/>
      <x:c r="D68" s="46"/>
      <x:c r="E68" s="46"/>
      <x:c r="F68" s="46"/>
      <x:c r="G68" s="46"/>
      <x:c r="H68" s="46"/>
      <x:c r="I68" s="3"/>
      <x:c r="J68" s="3"/>
      <x:c r="K68" s="3"/>
      <x:c r="L68" s="3"/>
      <x:c r="M68" s="3"/>
      <x:c r="N68" s="3"/>
      <x:c r="O68" s="3"/>
      <x:c r="P68" s="3"/>
      <x:c r="Q68" s="3"/>
      <x:c r="R68" s="3"/>
    </x:row>
    <x:row r="69" ht="34" customHeight="1">
      <x:c r="A69" s="46"/>
      <x:c r="B69" s="46"/>
      <x:c r="C69" s="46"/>
      <x:c r="D69" s="46"/>
      <x:c r="E69" s="46"/>
      <x:c r="F69" s="46"/>
      <x:c r="G69" s="46"/>
      <x:c r="H69" s="46"/>
      <x:c r="I69" s="3"/>
      <x:c r="J69" s="3"/>
      <x:c r="K69" s="3"/>
      <x:c r="L69" s="3"/>
      <x:c r="M69" s="3"/>
      <x:c r="N69" s="3"/>
      <x:c r="O69" s="3"/>
      <x:c r="P69" s="3"/>
      <x:c r="Q69" s="3"/>
      <x:c r="R69" s="3"/>
    </x:row>
    <x:row r="70" ht="34" customHeight="1">
      <x:c r="A70" s="46"/>
      <x:c r="B70" s="46"/>
      <x:c r="C70" s="46"/>
      <x:c r="D70" s="46"/>
      <x:c r="E70" s="46"/>
      <x:c r="F70" s="46"/>
      <x:c r="G70" s="46"/>
      <x:c r="H70" s="46"/>
      <x:c r="I70" s="3"/>
      <x:c r="J70" s="3"/>
      <x:c r="K70" s="3"/>
      <x:c r="L70" s="3"/>
      <x:c r="M70" s="3"/>
      <x:c r="N70" s="3"/>
      <x:c r="O70" s="3"/>
      <x:c r="P70" s="3"/>
      <x:c r="Q70" s="3"/>
      <x:c r="R70" s="3"/>
    </x:row>
    <x:row r="71" ht="34" customHeight="1">
      <x:c r="A71" s="46"/>
      <x:c r="B71" s="46"/>
      <x:c r="C71" s="46"/>
      <x:c r="D71" s="46"/>
      <x:c r="E71" s="46"/>
      <x:c r="F71" s="46"/>
      <x:c r="G71" s="46"/>
      <x:c r="H71" s="46"/>
      <x:c r="I71" s="3"/>
      <x:c r="J71" s="3"/>
      <x:c r="K71" s="3"/>
      <x:c r="L71" s="3"/>
      <x:c r="M71" s="3"/>
      <x:c r="N71" s="3"/>
      <x:c r="O71" s="3"/>
      <x:c r="P71" s="3"/>
      <x:c r="Q71" s="3"/>
      <x:c r="R71" s="3"/>
    </x:row>
    <x:row r="72" ht="34" customHeight="1">
      <x:c r="A72" s="46"/>
      <x:c r="B72" s="46"/>
      <x:c r="C72" s="46"/>
      <x:c r="D72" s="46"/>
      <x:c r="E72" s="46"/>
      <x:c r="F72" s="46"/>
      <x:c r="G72" s="46"/>
      <x:c r="H72" s="46"/>
      <x:c r="I72" s="3"/>
      <x:c r="J72" s="3"/>
      <x:c r="K72" s="3"/>
      <x:c r="L72" s="3"/>
      <x:c r="M72" s="3"/>
      <x:c r="N72" s="3"/>
      <x:c r="O72" s="3"/>
      <x:c r="P72" s="3"/>
      <x:c r="Q72" s="3"/>
      <x:c r="R72" s="3"/>
    </x:row>
    <x:row r="73" ht="34" customHeight="1">
      <x:c r="A73" s="46"/>
      <x:c r="B73" s="46"/>
      <x:c r="C73" s="46"/>
      <x:c r="D73" s="46"/>
      <x:c r="E73" s="46"/>
      <x:c r="F73" s="46"/>
      <x:c r="G73" s="46"/>
      <x:c r="H73" s="46"/>
      <x:c r="I73" s="3"/>
      <x:c r="J73" s="3"/>
      <x:c r="K73" s="3"/>
      <x:c r="L73" s="3"/>
      <x:c r="M73" s="3"/>
      <x:c r="N73" s="3"/>
      <x:c r="O73" s="3"/>
      <x:c r="P73" s="3"/>
      <x:c r="Q73" s="3"/>
      <x:c r="R73" s="3"/>
    </x:row>
    <x:row r="74" ht="34" customHeight="1">
      <x:c r="A74" s="46"/>
      <x:c r="B74" s="46"/>
      <x:c r="C74" s="46"/>
      <x:c r="D74" s="46"/>
      <x:c r="E74" s="46"/>
      <x:c r="F74" s="46"/>
      <x:c r="G74" s="46"/>
      <x:c r="H74" s="46"/>
      <x:c r="I74" s="3"/>
      <x:c r="J74" s="3"/>
      <x:c r="K74" s="3"/>
      <x:c r="L74" s="3"/>
      <x:c r="M74" s="3"/>
      <x:c r="N74" s="3"/>
      <x:c r="O74" s="3"/>
      <x:c r="P74" s="3"/>
      <x:c r="Q74" s="3"/>
      <x:c r="R74" s="3"/>
    </x:row>
    <x:row r="75" ht="34" customHeight="1">
      <x:c r="A75" s="46"/>
      <x:c r="B75" s="46"/>
      <x:c r="C75" s="46"/>
      <x:c r="D75" s="46"/>
      <x:c r="E75" s="46"/>
      <x:c r="F75" s="46"/>
      <x:c r="G75" s="46"/>
      <x:c r="H75" s="46"/>
      <x:c r="I75" s="3"/>
      <x:c r="J75" s="3"/>
      <x:c r="K75" s="3"/>
      <x:c r="L75" s="3"/>
      <x:c r="M75" s="3"/>
      <x:c r="N75" s="3"/>
      <x:c r="O75" s="3"/>
      <x:c r="P75" s="3"/>
      <x:c r="Q75" s="3"/>
      <x:c r="R75" s="3"/>
    </x:row>
    <x:row r="76" ht="34" customHeight="1">
      <x:c r="A76" s="46"/>
      <x:c r="B76" s="46"/>
      <x:c r="C76" s="46"/>
      <x:c r="D76" s="46"/>
      <x:c r="E76" s="46"/>
      <x:c r="F76" s="46"/>
      <x:c r="G76" s="46"/>
      <x:c r="H76" s="46"/>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136" t="str">
        <x:v>Record facts separately from hypotheses. A populated row is not approval: keep the decision authority and supporting evidence explicit. Review access controls before entering identifiable or sensitive information.</x:v>
      </x:c>
      <x:c r="B79" s="136"/>
      <x:c r="C79" s="136"/>
      <x:c r="D79" s="136"/>
      <x:c r="E79" s="136"/>
      <x:c r="F79" s="136"/>
      <x:c r="G79" s="136"/>
      <x:c r="H79" s="136"/>
      <x:c r="I79" s="136"/>
      <x:c r="J79" s="136"/>
      <x:c r="K79" s="136"/>
      <x:c r="L79" s="136"/>
      <x:c r="M79" s="3"/>
      <x:c r="N79" s="3"/>
      <x:c r="O79" s="3"/>
      <x:c r="P79" s="3"/>
      <x:c r="Q79" s="3"/>
      <x:c r="R79" s="3"/>
    </x:row>
    <x:row r="80" ht="20" customHeight="1">
      <x:c r="A80" s="136"/>
      <x:c r="B80" s="136"/>
      <x:c r="C80" s="136"/>
      <x:c r="D80" s="136"/>
      <x:c r="E80" s="136"/>
      <x:c r="F80" s="136"/>
      <x:c r="G80" s="136"/>
      <x:c r="H80" s="136"/>
      <x:c r="I80" s="136"/>
      <x:c r="J80" s="136"/>
      <x:c r="K80" s="136"/>
      <x:c r="L80" s="136"/>
      <x:c r="M80" s="3"/>
      <x:c r="N80" s="3"/>
      <x:c r="O80" s="3"/>
      <x:c r="P80" s="3"/>
      <x:c r="Q80" s="3"/>
      <x:c r="R80" s="3"/>
    </x:row>
    <x:row r="81" ht="20" customHeight="1">
      <x:c r="A81" s="136"/>
      <x:c r="B81" s="136"/>
      <x:c r="C81" s="136"/>
      <x:c r="D81" s="136"/>
      <x:c r="E81" s="136"/>
      <x:c r="F81" s="136"/>
      <x:c r="G81" s="136"/>
      <x:c r="H81" s="136"/>
      <x:c r="I81" s="136"/>
      <x:c r="J81" s="136"/>
      <x:c r="K81" s="136"/>
      <x:c r="L81" s="136"/>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9:L9"/>
    <x:mergeCell ref="A10:C11"/>
    <x:mergeCell ref="D10:L11"/>
    <x:mergeCell ref="A12:L14"/>
    <x:mergeCell ref="A16:C17"/>
    <x:mergeCell ref="D16:L17"/>
    <x:mergeCell ref="A18:L20"/>
    <x:mergeCell ref="A22:C23"/>
    <x:mergeCell ref="D22:L23"/>
    <x:mergeCell ref="A24:L26"/>
    <x:mergeCell ref="A28:C29"/>
    <x:mergeCell ref="D28:L29"/>
    <x:mergeCell ref="A30:L32"/>
    <x:mergeCell ref="A34:C35"/>
    <x:mergeCell ref="D34:L35"/>
    <x:mergeCell ref="A36:L38"/>
    <x:mergeCell ref="A40:C41"/>
    <x:mergeCell ref="D40:L41"/>
    <x:mergeCell ref="A42:L44"/>
    <x:mergeCell ref="A47:L49"/>
    <x:mergeCell ref="A51:L52"/>
    <x:mergeCell ref="A53:L54"/>
    <x:mergeCell ref="A79:L81"/>
  </x:mergeCells>
  <x:pageMargins left="0.7" right="0.7" top="0.75" bottom="0.75" header="0.3" footer="0.3"/>
</x:worksheet>
</file>

<file path=xl/worksheets/sheet87.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2" hidden="0" customWidth="1"/>
    <x:col min="2" max="2" width="16" hidden="0" customWidth="1"/>
    <x:col min="3" max="3" width="18" hidden="0" customWidth="1"/>
    <x:col min="4" max="4" width="22" hidden="0" customWidth="1"/>
    <x:col min="5" max="5" width="22" hidden="0" customWidth="1"/>
    <x:col min="6" max="6" width="43" hidden="0" customWidth="1"/>
    <x:col min="7" max="7" width="11"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 min="15" max="15" width="15" hidden="0" customWidth="1"/>
    <x:col min="16" max="16" width="11" hidden="0" customWidth="1"/>
    <x:col min="17" max="17" width="11" hidden="0" customWidth="1"/>
    <x:col min="18" max="18" width="11" hidden="0" customWidth="1"/>
  </x:cols>
  <x:sheetData>
    <x:row r="1" ht="26" customHeight="1">
      <x:c r="A1" s="9" t="str">
        <x:v>HR DELIVERY | EX FLOW Data</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Process Improvement Framework &amp; Toolkit - companion working records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169" t="str">
        <x:v>FICTIONAL TEACHING DATA ONLY | Deliberately separate from all live records and dashboards.</x:v>
      </x:c>
      <x:c r="B8" s="169"/>
      <x:c r="C8" s="169"/>
      <x:c r="D8" s="169"/>
      <x:c r="E8" s="169"/>
      <x:c r="F8" s="169"/>
      <x:c r="G8" s="169"/>
      <x:c r="H8" s="169"/>
      <x:c r="I8" s="169"/>
      <x:c r="J8" s="169"/>
      <x:c r="K8" s="169"/>
      <x:c r="L8" s="169"/>
      <x:c r="M8" s="3"/>
      <x:c r="N8" s="3"/>
      <x:c r="O8" s="3"/>
      <x:c r="P8" s="3"/>
      <x:c r="Q8" s="3"/>
      <x:c r="R8" s="3"/>
    </x:row>
    <x:row r="9" ht="20" customHeight="1">
      <x:c r="A9" s="169"/>
      <x:c r="B9" s="169"/>
      <x:c r="C9" s="169"/>
      <x:c r="D9" s="169"/>
      <x:c r="E9" s="169"/>
      <x:c r="F9" s="169"/>
      <x:c r="G9" s="169"/>
      <x:c r="H9" s="169"/>
      <x:c r="I9" s="169"/>
      <x:c r="J9" s="169"/>
      <x:c r="K9" s="169"/>
      <x:c r="L9" s="169"/>
      <x:c r="M9" s="3"/>
      <x:c r="N9" s="3"/>
      <x:c r="O9" s="3"/>
      <x:c r="P9" s="3"/>
      <x:c r="Q9" s="3"/>
      <x:c r="R9" s="3"/>
    </x:row>
    <x:row r="10" ht="20" customHeight="1">
      <x:c r="A10" s="3"/>
      <x:c r="B10" s="3"/>
      <x:c r="C10" s="3"/>
      <x:c r="D10" s="3"/>
      <x:c r="E10" s="3"/>
      <x:c r="F10" s="3"/>
      <x:c r="G10" s="3"/>
      <x:c r="H10" s="3"/>
      <x:c r="I10" s="3"/>
      <x:c r="J10" s="3"/>
      <x:c r="K10" s="3"/>
      <x:c r="L10" s="3"/>
      <x:c r="M10" s="3"/>
      <x:c r="N10" s="3"/>
      <x:c r="O10" s="3"/>
      <x:c r="P10" s="3"/>
      <x:c r="Q10" s="3"/>
      <x:c r="R10" s="3"/>
    </x:row>
    <x:row r="11" ht="34" customHeight="1">
      <x:c r="A11" s="77" t="str">
        <x:v>Sequence</x:v>
      </x:c>
      <x:c r="B11" s="77" t="str">
        <x:v>Phase</x:v>
      </x:c>
      <x:c r="C11" s="77" t="str">
        <x:v>Elapsed hours</x:v>
      </x:c>
      <x:c r="D11" s="77" t="str">
        <x:v>First-pass correct</x:v>
      </x:c>
      <x:c r="E11" s="77" t="str">
        <x:v>Within 24 hours</x:v>
      </x:c>
      <x:c r="F11" s="77" t="str">
        <x:v>Evidence status</x:v>
      </x:c>
      <x:c r="G11" s="3"/>
      <x:c r="H11" s="136" t="str">
        <x:v>The first-pass flags reproduce the aggregate examples only. Their placement against elapsed times is synthetic: do not interpret or teach an association between first-pass correctness and time from these rows.</x:v>
      </x:c>
      <x:c r="I11" s="136"/>
      <x:c r="J11" s="136"/>
      <x:c r="K11" s="136"/>
      <x:c r="L11" s="136"/>
      <x:c r="M11" s="136"/>
      <x:c r="N11" s="136"/>
      <x:c r="O11" s="3"/>
      <x:c r="P11" s="3"/>
      <x:c r="Q11" s="3"/>
      <x:c r="R11" s="3"/>
    </x:row>
    <x:row r="12" ht="23" customHeight="1">
      <x:c r="A12" s="66" t="n">
        <x:v>1</x:v>
      </x:c>
      <x:c r="B12" s="66" t="str">
        <x:v>Baseline</x:v>
      </x:c>
      <x:c r="C12" s="66" t="n">
        <x:v>144</x:v>
      </x:c>
      <x:c r="D12" s="66" t="str">
        <x:v>Yes</x:v>
      </x:c>
      <x:c r="E12" s="83" t="str">
        <x:f>IF(C12&lt;=24,"Yes","No")</x:f>
        <x:v>No</x:v>
      </x:c>
      <x:c r="F12" s="66" t="str">
        <x:v>Fictional; quality assignment illustrative</x:v>
      </x:c>
      <x:c r="G12" s="3"/>
      <x:c r="H12" s="136"/>
      <x:c r="I12" s="136"/>
      <x:c r="J12" s="136"/>
      <x:c r="K12" s="136"/>
      <x:c r="L12" s="136"/>
      <x:c r="M12" s="136"/>
      <x:c r="N12" s="136"/>
      <x:c r="O12" s="3"/>
      <x:c r="P12" s="3"/>
      <x:c r="Q12" s="3"/>
      <x:c r="R12" s="3"/>
    </x:row>
    <x:row r="13" ht="23" customHeight="1">
      <x:c r="A13" s="66" t="n">
        <x:v>2</x:v>
      </x:c>
      <x:c r="B13" s="66" t="str">
        <x:v>Baseline</x:v>
      </x:c>
      <x:c r="C13" s="66" t="n">
        <x:v>60</x:v>
      </x:c>
      <x:c r="D13" s="66" t="str">
        <x:v>Yes</x:v>
      </x:c>
      <x:c r="E13" s="83" t="str">
        <x:f>IF(C13&lt;=24,"Yes","No")</x:f>
        <x:v>No</x:v>
      </x:c>
      <x:c r="F13" s="66" t="str">
        <x:v>Fictional; quality assignment illustrative</x:v>
      </x:c>
      <x:c r="G13" s="3"/>
      <x:c r="H13" s="136"/>
      <x:c r="I13" s="136"/>
      <x:c r="J13" s="136"/>
      <x:c r="K13" s="136"/>
      <x:c r="L13" s="136"/>
      <x:c r="M13" s="136"/>
      <x:c r="N13" s="136"/>
      <x:c r="O13" s="3"/>
      <x:c r="P13" s="3"/>
      <x:c r="Q13" s="3"/>
      <x:c r="R13" s="3"/>
    </x:row>
    <x:row r="14" ht="23" customHeight="1">
      <x:c r="A14" s="66" t="n">
        <x:v>3</x:v>
      </x:c>
      <x:c r="B14" s="66" t="str">
        <x:v>Baseline</x:v>
      </x:c>
      <x:c r="C14" s="66" t="n">
        <x:v>12</x:v>
      </x:c>
      <x:c r="D14" s="66" t="str">
        <x:v>Yes</x:v>
      </x:c>
      <x:c r="E14" s="83" t="str">
        <x:f>IF(C14&lt;=24,"Yes","No")</x:f>
        <x:v>Yes</x:v>
      </x:c>
      <x:c r="F14" s="66" t="str">
        <x:v>Fictional; quality assignment illustrative</x:v>
      </x:c>
      <x:c r="G14" s="3"/>
      <x:c r="H14" s="3"/>
      <x:c r="I14" s="3"/>
      <x:c r="J14" s="3"/>
      <x:c r="K14" s="3"/>
      <x:c r="L14" s="3"/>
      <x:c r="M14" s="3"/>
      <x:c r="N14" s="3"/>
      <x:c r="O14" s="3"/>
      <x:c r="P14" s="3"/>
      <x:c r="Q14" s="3"/>
      <x:c r="R14" s="3"/>
    </x:row>
    <x:row r="15" ht="36" customHeight="1">
      <x:c r="A15" s="66" t="n">
        <x:v>4</x:v>
      </x:c>
      <x:c r="B15" s="66" t="str">
        <x:v>Baseline</x:v>
      </x:c>
      <x:c r="C15" s="66" t="n">
        <x:v>52</x:v>
      </x:c>
      <x:c r="D15" s="66" t="str">
        <x:v>Yes</x:v>
      </x:c>
      <x:c r="E15" s="83" t="str">
        <x:f>IF(C15&lt;=24,"Yes","No")</x:f>
        <x:v>No</x:v>
      </x:c>
      <x:c r="F15" s="66" t="str">
        <x:v>Fictional; quality assignment illustrative</x:v>
      </x:c>
      <x:c r="G15" s="3"/>
      <x:c r="H15" s="77" t="str">
        <x:v>Independent I-MR</x:v>
      </x:c>
      <x:c r="I15" s="77" t="str">
        <x:v>Observation</x:v>
      </x:c>
      <x:c r="J15" s="77" t="str">
        <x:v>Moving range</x:v>
      </x:c>
      <x:c r="K15" s="77"/>
      <x:c r="L15" s="77" t="str">
        <x:v>Independent p chart</x:v>
      </x:c>
      <x:c r="M15" s="77" t="str">
        <x:v>n</x:v>
      </x:c>
      <x:c r="N15" s="77" t="str">
        <x:v>d</x:v>
      </x:c>
      <x:c r="O15" s="77" t="str">
        <x:v>Proportion</x:v>
      </x:c>
      <x:c r="P15" s="3"/>
      <x:c r="Q15" s="3"/>
      <x:c r="R15" s="3"/>
    </x:row>
    <x:row r="16" ht="25" customHeight="1">
      <x:c r="A16" s="66" t="n">
        <x:v>5</x:v>
      </x:c>
      <x:c r="B16" s="66" t="str">
        <x:v>Baseline</x:v>
      </x:c>
      <x:c r="C16" s="66" t="n">
        <x:v>24</x:v>
      </x:c>
      <x:c r="D16" s="66" t="str">
        <x:v>Yes</x:v>
      </x:c>
      <x:c r="E16" s="83" t="str">
        <x:f>IF(C16&lt;=24,"Yes","No")</x:f>
        <x:v>Yes</x:v>
      </x:c>
      <x:c r="F16" s="66" t="str">
        <x:v>Fictional; quality assignment illustrative</x:v>
      </x:c>
      <x:c r="G16" s="3"/>
      <x:c r="H16" s="3" t="n">
        <x:v>1</x:v>
      </x:c>
      <x:c r="I16" s="3" t="n">
        <x:v>10</x:v>
      </x:c>
      <x:c r="J16" s="3"/>
      <x:c r="K16" s="3"/>
      <x:c r="L16" s="3" t="n">
        <x:v>1</x:v>
      </x:c>
      <x:c r="M16" s="3" t="n">
        <x:v>50</x:v>
      </x:c>
      <x:c r="N16" s="3" t="n">
        <x:v>8</x:v>
      </x:c>
      <x:c r="O16" s="90" t="n">
        <x:f>N16/M16</x:f>
        <x:v>0.16</x:v>
      </x:c>
      <x:c r="P16" s="3"/>
      <x:c r="Q16" s="3"/>
      <x:c r="R16" s="3"/>
    </x:row>
    <x:row r="17" ht="25" customHeight="1">
      <x:c r="A17" s="66" t="n">
        <x:v>6</x:v>
      </x:c>
      <x:c r="B17" s="66" t="str">
        <x:v>Baseline</x:v>
      </x:c>
      <x:c r="C17" s="66" t="n">
        <x:v>48</x:v>
      </x:c>
      <x:c r="D17" s="66" t="str">
        <x:v>Yes</x:v>
      </x:c>
      <x:c r="E17" s="83" t="str">
        <x:f>IF(C17&lt;=24,"Yes","No")</x:f>
        <x:v>No</x:v>
      </x:c>
      <x:c r="F17" s="66" t="str">
        <x:v>Fictional; quality assignment illustrative</x:v>
      </x:c>
      <x:c r="G17" s="3"/>
      <x:c r="H17" s="3" t="n">
        <x:v>2</x:v>
      </x:c>
      <x:c r="I17" s="3" t="n">
        <x:v>12</x:v>
      </x:c>
      <x:c r="J17" s="83" t="n">
        <x:f>ABS(I17-I16)</x:f>
        <x:v>2</x:v>
      </x:c>
      <x:c r="K17" s="3"/>
      <x:c r="L17" s="3" t="n">
        <x:v>2</x:v>
      </x:c>
      <x:c r="M17" s="3" t="n">
        <x:v>50</x:v>
      </x:c>
      <x:c r="N17" s="3" t="n">
        <x:v>10</x:v>
      </x:c>
      <x:c r="O17" s="90" t="n">
        <x:f>N17/M17</x:f>
        <x:v>0.2</x:v>
      </x:c>
      <x:c r="P17" s="3"/>
      <x:c r="Q17" s="3"/>
      <x:c r="R17" s="3"/>
    </x:row>
    <x:row r="18" ht="25" customHeight="1">
      <x:c r="A18" s="66" t="n">
        <x:v>7</x:v>
      </x:c>
      <x:c r="B18" s="66" t="str">
        <x:v>Baseline</x:v>
      </x:c>
      <x:c r="C18" s="66" t="n">
        <x:v>56</x:v>
      </x:c>
      <x:c r="D18" s="66" t="str">
        <x:v>Yes</x:v>
      </x:c>
      <x:c r="E18" s="83" t="str">
        <x:f>IF(C18&lt;=24,"Yes","No")</x:f>
        <x:v>No</x:v>
      </x:c>
      <x:c r="F18" s="66" t="str">
        <x:v>Fictional; quality assignment illustrative</x:v>
      </x:c>
      <x:c r="G18" s="3"/>
      <x:c r="H18" s="3" t="n">
        <x:v>3</x:v>
      </x:c>
      <x:c r="I18" s="3" t="n">
        <x:v>11</x:v>
      </x:c>
      <x:c r="J18" s="83" t="n">
        <x:f>ABS(I18-I17)</x:f>
        <x:v>1</x:v>
      </x:c>
      <x:c r="K18" s="3"/>
      <x:c r="L18" s="3" t="n">
        <x:v>3</x:v>
      </x:c>
      <x:c r="M18" s="3" t="n">
        <x:v>50</x:v>
      </x:c>
      <x:c r="N18" s="3" t="n">
        <x:v>12</x:v>
      </x:c>
      <x:c r="O18" s="90" t="n">
        <x:f>N18/M18</x:f>
        <x:v>0.24</x:v>
      </x:c>
      <x:c r="P18" s="3"/>
      <x:c r="Q18" s="3"/>
      <x:c r="R18" s="3"/>
    </x:row>
    <x:row r="19" ht="25" customHeight="1">
      <x:c r="A19" s="66" t="n">
        <x:v>8</x:v>
      </x:c>
      <x:c r="B19" s="66" t="str">
        <x:v>Baseline</x:v>
      </x:c>
      <x:c r="C19" s="66" t="n">
        <x:v>108</x:v>
      </x:c>
      <x:c r="D19" s="66" t="str">
        <x:v>Yes</x:v>
      </x:c>
      <x:c r="E19" s="83" t="str">
        <x:f>IF(C19&lt;=24,"Yes","No")</x:f>
        <x:v>No</x:v>
      </x:c>
      <x:c r="F19" s="66" t="str">
        <x:v>Fictional; quality assignment illustrative</x:v>
      </x:c>
      <x:c r="G19" s="3"/>
      <x:c r="H19" s="3" t="n">
        <x:v>4</x:v>
      </x:c>
      <x:c r="I19" s="3" t="n">
        <x:v>13</x:v>
      </x:c>
      <x:c r="J19" s="83" t="n">
        <x:f>ABS(I19-I18)</x:f>
        <x:v>2</x:v>
      </x:c>
      <x:c r="K19" s="3"/>
      <x:c r="L19" s="3" t="n">
        <x:v>4</x:v>
      </x:c>
      <x:c r="M19" s="3" t="n">
        <x:v>50</x:v>
      </x:c>
      <x:c r="N19" s="3" t="n">
        <x:v>10</x:v>
      </x:c>
      <x:c r="O19" s="90" t="n">
        <x:f>N19/M19</x:f>
        <x:v>0.2</x:v>
      </x:c>
      <x:c r="P19" s="3"/>
      <x:c r="Q19" s="3"/>
      <x:c r="R19" s="3"/>
    </x:row>
    <x:row r="20" ht="25" customHeight="1">
      <x:c r="A20" s="66" t="n">
        <x:v>9</x:v>
      </x:c>
      <x:c r="B20" s="66" t="str">
        <x:v>Baseline</x:v>
      </x:c>
      <x:c r="C20" s="66" t="n">
        <x:v>44</x:v>
      </x:c>
      <x:c r="D20" s="66" t="str">
        <x:v>Yes</x:v>
      </x:c>
      <x:c r="E20" s="83" t="str">
        <x:f>IF(C20&lt;=24,"Yes","No")</x:f>
        <x:v>No</x:v>
      </x:c>
      <x:c r="F20" s="66" t="str">
        <x:v>Fictional; quality assignment illustrative</x:v>
      </x:c>
      <x:c r="G20" s="3"/>
      <x:c r="H20" s="3" t="n">
        <x:v>5</x:v>
      </x:c>
      <x:c r="I20" s="3" t="n">
        <x:v>12</x:v>
      </x:c>
      <x:c r="J20" s="83" t="n">
        <x:f>ABS(I20-I19)</x:f>
        <x:v>1</x:v>
      </x:c>
      <x:c r="K20" s="3"/>
      <x:c r="L20" s="3" t="n">
        <x:v>5</x:v>
      </x:c>
      <x:c r="M20" s="3" t="n">
        <x:v>50</x:v>
      </x:c>
      <x:c r="N20" s="3" t="n">
        <x:v>8</x:v>
      </x:c>
      <x:c r="O20" s="90" t="n">
        <x:f>N20/M20</x:f>
        <x:v>0.16</x:v>
      </x:c>
      <x:c r="P20" s="3"/>
      <x:c r="Q20" s="3"/>
      <x:c r="R20" s="3"/>
    </x:row>
    <x:row r="21" ht="25" customHeight="1">
      <x:c r="A21" s="66" t="n">
        <x:v>10</x:v>
      </x:c>
      <x:c r="B21" s="66" t="str">
        <x:v>Baseline</x:v>
      </x:c>
      <x:c r="C21" s="66" t="n">
        <x:v>120</x:v>
      </x:c>
      <x:c r="D21" s="66" t="str">
        <x:v>Yes</x:v>
      </x:c>
      <x:c r="E21" s="83" t="str">
        <x:f>IF(C21&lt;=24,"Yes","No")</x:f>
        <x:v>No</x:v>
      </x:c>
      <x:c r="F21" s="66" t="str">
        <x:v>Fictional; quality assignment illustrative</x:v>
      </x:c>
      <x:c r="G21" s="3"/>
      <x:c r="H21" s="3" t="n">
        <x:v>6</x:v>
      </x:c>
      <x:c r="I21" s="3" t="n">
        <x:v>14</x:v>
      </x:c>
      <x:c r="J21" s="83" t="n">
        <x:f>ABS(I21-I20)</x:f>
        <x:v>2</x:v>
      </x:c>
      <x:c r="K21" s="3"/>
      <x:c r="L21" s="3" t="n">
        <x:v>6</x:v>
      </x:c>
      <x:c r="M21" s="3" t="n">
        <x:v>50</x:v>
      </x:c>
      <x:c r="N21" s="3" t="n">
        <x:v>10</x:v>
      </x:c>
      <x:c r="O21" s="90" t="n">
        <x:f>N21/M21</x:f>
        <x:v>0.2</x:v>
      </x:c>
      <x:c r="P21" s="3"/>
      <x:c r="Q21" s="3"/>
      <x:c r="R21" s="3"/>
    </x:row>
    <x:row r="22" ht="25" customHeight="1">
      <x:c r="A22" s="66" t="n">
        <x:v>11</x:v>
      </x:c>
      <x:c r="B22" s="66" t="str">
        <x:v>Baseline</x:v>
      </x:c>
      <x:c r="C22" s="66" t="n">
        <x:v>72</x:v>
      </x:c>
      <x:c r="D22" s="66" t="str">
        <x:v>Yes</x:v>
      </x:c>
      <x:c r="E22" s="83" t="str">
        <x:f>IF(C22&lt;=24,"Yes","No")</x:f>
        <x:v>No</x:v>
      </x:c>
      <x:c r="F22" s="66" t="str">
        <x:v>Fictional; quality assignment illustrative</x:v>
      </x:c>
      <x:c r="G22" s="3"/>
      <x:c r="H22" s="3" t="n">
        <x:v>7</x:v>
      </x:c>
      <x:c r="I22" s="3" t="n">
        <x:v>13</x:v>
      </x:c>
      <x:c r="J22" s="83" t="n">
        <x:f>ABS(I22-I21)</x:f>
        <x:v>1</x:v>
      </x:c>
      <x:c r="K22" s="3"/>
      <x:c r="L22" s="3" t="n">
        <x:v>7</x:v>
      </x:c>
      <x:c r="M22" s="3" t="n">
        <x:v>50</x:v>
      </x:c>
      <x:c r="N22" s="3" t="n">
        <x:v>12</x:v>
      </x:c>
      <x:c r="O22" s="90" t="n">
        <x:f>N22/M22</x:f>
        <x:v>0.24</x:v>
      </x:c>
      <x:c r="P22" s="3"/>
      <x:c r="Q22" s="3"/>
      <x:c r="R22" s="3"/>
    </x:row>
    <x:row r="23" ht="25" customHeight="1">
      <x:c r="A23" s="66" t="n">
        <x:v>12</x:v>
      </x:c>
      <x:c r="B23" s="66" t="str">
        <x:v>Baseline</x:v>
      </x:c>
      <x:c r="C23" s="66" t="n">
        <x:v>20</x:v>
      </x:c>
      <x:c r="D23" s="66" t="str">
        <x:v>Yes</x:v>
      </x:c>
      <x:c r="E23" s="83" t="str">
        <x:f>IF(C23&lt;=24,"Yes","No")</x:f>
        <x:v>Yes</x:v>
      </x:c>
      <x:c r="F23" s="66" t="str">
        <x:v>Fictional; quality assignment illustrative</x:v>
      </x:c>
      <x:c r="G23" s="3"/>
      <x:c r="H23" s="3" t="n">
        <x:v>8</x:v>
      </x:c>
      <x:c r="I23" s="3" t="n">
        <x:v>12</x:v>
      </x:c>
      <x:c r="J23" s="83" t="n">
        <x:f>ABS(I23-I22)</x:f>
        <x:v>1</x:v>
      </x:c>
      <x:c r="K23" s="3"/>
      <x:c r="L23" s="3" t="n">
        <x:v>8</x:v>
      </x:c>
      <x:c r="M23" s="3" t="n">
        <x:v>50</x:v>
      </x:c>
      <x:c r="N23" s="3" t="n">
        <x:v>10</x:v>
      </x:c>
      <x:c r="O23" s="90" t="n">
        <x:f>N23/M23</x:f>
        <x:v>0.2</x:v>
      </x:c>
      <x:c r="P23" s="3"/>
      <x:c r="Q23" s="3"/>
      <x:c r="R23" s="3"/>
    </x:row>
    <x:row r="24" ht="25" customHeight="1">
      <x:c r="A24" s="66" t="n">
        <x:v>13</x:v>
      </x:c>
      <x:c r="B24" s="66" t="str">
        <x:v>Baseline</x:v>
      </x:c>
      <x:c r="C24" s="66" t="n">
        <x:v>84</x:v>
      </x:c>
      <x:c r="D24" s="66" t="str">
        <x:v>Yes</x:v>
      </x:c>
      <x:c r="E24" s="83" t="str">
        <x:f>IF(C24&lt;=24,"Yes","No")</x:f>
        <x:v>No</x:v>
      </x:c>
      <x:c r="F24" s="66" t="str">
        <x:v>Fictional; quality assignment illustrative</x:v>
      </x:c>
      <x:c r="G24" s="3"/>
      <x:c r="H24" s="3" t="n">
        <x:v>9</x:v>
      </x:c>
      <x:c r="I24" s="3" t="n">
        <x:v>11</x:v>
      </x:c>
      <x:c r="J24" s="83" t="n">
        <x:f>ABS(I24-I23)</x:f>
        <x:v>1</x:v>
      </x:c>
      <x:c r="K24" s="3"/>
      <x:c r="L24" s="3" t="n">
        <x:v>9</x:v>
      </x:c>
      <x:c r="M24" s="3" t="n">
        <x:v>50</x:v>
      </x:c>
      <x:c r="N24" s="3" t="n">
        <x:v>8</x:v>
      </x:c>
      <x:c r="O24" s="90" t="n">
        <x:f>N24/M24</x:f>
        <x:v>0.16</x:v>
      </x:c>
      <x:c r="P24" s="3"/>
      <x:c r="Q24" s="3"/>
      <x:c r="R24" s="3"/>
    </x:row>
    <x:row r="25" ht="25" customHeight="1">
      <x:c r="A25" s="66" t="n">
        <x:v>14</x:v>
      </x:c>
      <x:c r="B25" s="66" t="str">
        <x:v>Baseline</x:v>
      </x:c>
      <x:c r="C25" s="66" t="n">
        <x:v>22</x:v>
      </x:c>
      <x:c r="D25" s="66" t="str">
        <x:v>Yes</x:v>
      </x:c>
      <x:c r="E25" s="83" t="str">
        <x:f>IF(C25&lt;=24,"Yes","No")</x:f>
        <x:v>Yes</x:v>
      </x:c>
      <x:c r="F25" s="66" t="str">
        <x:v>Fictional; quality assignment illustrative</x:v>
      </x:c>
      <x:c r="G25" s="3"/>
      <x:c r="H25" s="3" t="n">
        <x:v>10</x:v>
      </x:c>
      <x:c r="I25" s="3" t="n">
        <x:v>13</x:v>
      </x:c>
      <x:c r="J25" s="83" t="n">
        <x:f>ABS(I25-I24)</x:f>
        <x:v>2</x:v>
      </x:c>
      <x:c r="K25" s="3"/>
      <x:c r="L25" s="3" t="n">
        <x:v>10</x:v>
      </x:c>
      <x:c r="M25" s="3" t="n">
        <x:v>50</x:v>
      </x:c>
      <x:c r="N25" s="3" t="n">
        <x:v>10</x:v>
      </x:c>
      <x:c r="O25" s="90" t="n">
        <x:f>N25/M25</x:f>
        <x:v>0.2</x:v>
      </x:c>
      <x:c r="P25" s="3"/>
      <x:c r="Q25" s="3"/>
      <x:c r="R25" s="3"/>
    </x:row>
    <x:row r="26" ht="25" customHeight="1">
      <x:c r="A26" s="66" t="n">
        <x:v>15</x:v>
      </x:c>
      <x:c r="B26" s="66" t="str">
        <x:v>Baseline</x:v>
      </x:c>
      <x:c r="C26" s="66" t="n">
        <x:v>88</x:v>
      </x:c>
      <x:c r="D26" s="66" t="str">
        <x:v>Yes</x:v>
      </x:c>
      <x:c r="E26" s="83" t="str">
        <x:f>IF(C26&lt;=24,"Yes","No")</x:f>
        <x:v>No</x:v>
      </x:c>
      <x:c r="F26" s="66" t="str">
        <x:v>Fictional; quality assignment illustrative</x:v>
      </x:c>
      <x:c r="G26" s="3"/>
      <x:c r="H26" s="3" t="n">
        <x:v>11</x:v>
      </x:c>
      <x:c r="I26" s="3" t="n">
        <x:v>12</x:v>
      </x:c>
      <x:c r="J26" s="83" t="n">
        <x:f>ABS(I26-I25)</x:f>
        <x:v>1</x:v>
      </x:c>
      <x:c r="K26" s="3"/>
      <x:c r="L26" s="3" t="n">
        <x:v>11</x:v>
      </x:c>
      <x:c r="M26" s="3" t="n">
        <x:v>50</x:v>
      </x:c>
      <x:c r="N26" s="3" t="n">
        <x:v>12</x:v>
      </x:c>
      <x:c r="O26" s="90" t="n">
        <x:f>N26/M26</x:f>
        <x:v>0.24</x:v>
      </x:c>
      <x:c r="P26" s="3"/>
      <x:c r="Q26" s="3"/>
      <x:c r="R26" s="3"/>
    </x:row>
    <x:row r="27" ht="25" customHeight="1">
      <x:c r="A27" s="66" t="n">
        <x:v>16</x:v>
      </x:c>
      <x:c r="B27" s="66" t="str">
        <x:v>Baseline</x:v>
      </x:c>
      <x:c r="C27" s="66" t="n">
        <x:v>40</x:v>
      </x:c>
      <x:c r="D27" s="66" t="str">
        <x:v>Yes</x:v>
      </x:c>
      <x:c r="E27" s="83" t="str">
        <x:f>IF(C27&lt;=24,"Yes","No")</x:f>
        <x:v>No</x:v>
      </x:c>
      <x:c r="F27" s="66" t="str">
        <x:v>Fictional; quality assignment illustrative</x:v>
      </x:c>
      <x:c r="G27" s="3"/>
      <x:c r="H27" s="3" t="n">
        <x:v>12</x:v>
      </x:c>
      <x:c r="I27" s="3" t="n">
        <x:v>14</x:v>
      </x:c>
      <x:c r="J27" s="83" t="n">
        <x:f>ABS(I27-I26)</x:f>
        <x:v>2</x:v>
      </x:c>
      <x:c r="K27" s="3"/>
      <x:c r="L27" s="3" t="n">
        <x:v>12</x:v>
      </x:c>
      <x:c r="M27" s="3" t="n">
        <x:v>50</x:v>
      </x:c>
      <x:c r="N27" s="3" t="n">
        <x:v>10</x:v>
      </x:c>
      <x:c r="O27" s="90" t="n">
        <x:f>N27/M27</x:f>
        <x:v>0.2</x:v>
      </x:c>
      <x:c r="P27" s="3"/>
      <x:c r="Q27" s="3"/>
      <x:c r="R27" s="3"/>
    </x:row>
    <x:row r="28" ht="25" customHeight="1">
      <x:c r="A28" s="66" t="n">
        <x:v>17</x:v>
      </x:c>
      <x:c r="B28" s="66" t="str">
        <x:v>Baseline</x:v>
      </x:c>
      <x:c r="C28" s="66" t="n">
        <x:v>68</x:v>
      </x:c>
      <x:c r="D28" s="66" t="str">
        <x:v>Yes</x:v>
      </x:c>
      <x:c r="E28" s="83" t="str">
        <x:f>IF(C28&lt;=24,"Yes","No")</x:f>
        <x:v>No</x:v>
      </x:c>
      <x:c r="F28" s="66" t="str">
        <x:v>Fictional; quality assignment illustrative</x:v>
      </x:c>
      <x:c r="G28" s="3"/>
      <x:c r="H28" s="3" t="n">
        <x:v>13</x:v>
      </x:c>
      <x:c r="I28" s="3" t="n">
        <x:v>13</x:v>
      </x:c>
      <x:c r="J28" s="83" t="n">
        <x:f>ABS(I28-I27)</x:f>
        <x:v>1</x:v>
      </x:c>
      <x:c r="K28" s="3"/>
      <x:c r="L28" s="3" t="n">
        <x:v>13</x:v>
      </x:c>
      <x:c r="M28" s="3" t="n">
        <x:v>50</x:v>
      </x:c>
      <x:c r="N28" s="3" t="n">
        <x:v>8</x:v>
      </x:c>
      <x:c r="O28" s="90" t="n">
        <x:f>N28/M28</x:f>
        <x:v>0.16</x:v>
      </x:c>
      <x:c r="P28" s="3"/>
      <x:c r="Q28" s="3"/>
      <x:c r="R28" s="3"/>
    </x:row>
    <x:row r="29" ht="25" customHeight="1">
      <x:c r="A29" s="66" t="n">
        <x:v>18</x:v>
      </x:c>
      <x:c r="B29" s="66" t="str">
        <x:v>Baseline</x:v>
      </x:c>
      <x:c r="C29" s="66" t="n">
        <x:v>54</x:v>
      </x:c>
      <x:c r="D29" s="66" t="str">
        <x:v>Yes</x:v>
      </x:c>
      <x:c r="E29" s="83" t="str">
        <x:f>IF(C29&lt;=24,"Yes","No")</x:f>
        <x:v>No</x:v>
      </x:c>
      <x:c r="F29" s="66" t="str">
        <x:v>Fictional; quality assignment illustrative</x:v>
      </x:c>
      <x:c r="G29" s="3"/>
      <x:c r="H29" s="3" t="n">
        <x:v>14</x:v>
      </x:c>
      <x:c r="I29" s="3" t="n">
        <x:v>15</x:v>
      </x:c>
      <x:c r="J29" s="83" t="n">
        <x:f>ABS(I29-I28)</x:f>
        <x:v>2</x:v>
      </x:c>
      <x:c r="K29" s="3"/>
      <x:c r="L29" s="3" t="n">
        <x:v>14</x:v>
      </x:c>
      <x:c r="M29" s="3" t="n">
        <x:v>50</x:v>
      </x:c>
      <x:c r="N29" s="3" t="n">
        <x:v>10</x:v>
      </x:c>
      <x:c r="O29" s="90" t="n">
        <x:f>N29/M29</x:f>
        <x:v>0.2</x:v>
      </x:c>
      <x:c r="P29" s="3"/>
      <x:c r="Q29" s="3"/>
      <x:c r="R29" s="3"/>
    </x:row>
    <x:row r="30" ht="25" customHeight="1">
      <x:c r="A30" s="66" t="n">
        <x:v>19</x:v>
      </x:c>
      <x:c r="B30" s="66" t="str">
        <x:v>Baseline</x:v>
      </x:c>
      <x:c r="C30" s="66" t="n">
        <x:v>24</x:v>
      </x:c>
      <x:c r="D30" s="66" t="str">
        <x:v>Yes</x:v>
      </x:c>
      <x:c r="E30" s="83" t="str">
        <x:f>IF(C30&lt;=24,"Yes","No")</x:f>
        <x:v>Yes</x:v>
      </x:c>
      <x:c r="F30" s="66" t="str">
        <x:v>Fictional; quality assignment illustrative</x:v>
      </x:c>
      <x:c r="G30" s="3"/>
      <x:c r="H30" s="3" t="n">
        <x:v>15</x:v>
      </x:c>
      <x:c r="I30" s="3" t="n">
        <x:v>14</x:v>
      </x:c>
      <x:c r="J30" s="83" t="n">
        <x:f>ABS(I30-I29)</x:f>
        <x:v>1</x:v>
      </x:c>
      <x:c r="K30" s="3"/>
      <x:c r="L30" s="3" t="n">
        <x:v>15</x:v>
      </x:c>
      <x:c r="M30" s="3" t="n">
        <x:v>50</x:v>
      </x:c>
      <x:c r="N30" s="3" t="n">
        <x:v>12</x:v>
      </x:c>
      <x:c r="O30" s="90" t="n">
        <x:f>N30/M30</x:f>
        <x:v>0.24</x:v>
      </x:c>
      <x:c r="P30" s="3"/>
      <x:c r="Q30" s="3"/>
      <x:c r="R30" s="3"/>
    </x:row>
    <x:row r="31" ht="25" customHeight="1">
      <x:c r="A31" s="66" t="n">
        <x:v>20</x:v>
      </x:c>
      <x:c r="B31" s="66" t="str">
        <x:v>Baseline</x:v>
      </x:c>
      <x:c r="C31" s="66" t="n">
        <x:v>96</x:v>
      </x:c>
      <x:c r="D31" s="66" t="str">
        <x:v>Yes</x:v>
      </x:c>
      <x:c r="E31" s="83" t="str">
        <x:f>IF(C31&lt;=24,"Yes","No")</x:f>
        <x:v>No</x:v>
      </x:c>
      <x:c r="F31" s="66" t="str">
        <x:v>Fictional; quality assignment illustrative</x:v>
      </x:c>
      <x:c r="G31" s="3"/>
      <x:c r="H31" s="3" t="n">
        <x:v>16</x:v>
      </x:c>
      <x:c r="I31" s="3" t="n">
        <x:v>13</x:v>
      </x:c>
      <x:c r="J31" s="83" t="n">
        <x:f>ABS(I31-I30)</x:f>
        <x:v>1</x:v>
      </x:c>
      <x:c r="K31" s="3"/>
      <x:c r="L31" s="3" t="n">
        <x:v>16</x:v>
      </x:c>
      <x:c r="M31" s="3" t="n">
        <x:v>50</x:v>
      </x:c>
      <x:c r="N31" s="3" t="n">
        <x:v>10</x:v>
      </x:c>
      <x:c r="O31" s="90" t="n">
        <x:f>N31/M31</x:f>
        <x:v>0.2</x:v>
      </x:c>
      <x:c r="P31" s="3"/>
      <x:c r="Q31" s="3"/>
      <x:c r="R31" s="3"/>
    </x:row>
    <x:row r="32" ht="25" customHeight="1">
      <x:c r="A32" s="66" t="n">
        <x:v>21</x:v>
      </x:c>
      <x:c r="B32" s="66" t="str">
        <x:v>Baseline</x:v>
      </x:c>
      <x:c r="C32" s="66" t="n">
        <x:v>48</x:v>
      </x:c>
      <x:c r="D32" s="66" t="str">
        <x:v>Yes</x:v>
      </x:c>
      <x:c r="E32" s="83" t="str">
        <x:f>IF(C32&lt;=24,"Yes","No")</x:f>
        <x:v>No</x:v>
      </x:c>
      <x:c r="F32" s="66" t="str">
        <x:v>Fictional; quality assignment illustrative</x:v>
      </x:c>
      <x:c r="G32" s="3"/>
      <x:c r="H32" s="3" t="n">
        <x:v>17</x:v>
      </x:c>
      <x:c r="I32" s="3" t="n">
        <x:v>12</x:v>
      </x:c>
      <x:c r="J32" s="83" t="n">
        <x:f>ABS(I32-I31)</x:f>
        <x:v>1</x:v>
      </x:c>
      <x:c r="K32" s="3"/>
      <x:c r="L32" s="3" t="n">
        <x:v>17</x:v>
      </x:c>
      <x:c r="M32" s="3" t="n">
        <x:v>50</x:v>
      </x:c>
      <x:c r="N32" s="3" t="n">
        <x:v>8</x:v>
      </x:c>
      <x:c r="O32" s="90" t="n">
        <x:f>N32/M32</x:f>
        <x:v>0.16</x:v>
      </x:c>
      <x:c r="P32" s="3"/>
      <x:c r="Q32" s="3"/>
      <x:c r="R32" s="3"/>
    </x:row>
    <x:row r="33" ht="25" customHeight="1">
      <x:c r="A33" s="66" t="n">
        <x:v>22</x:v>
      </x:c>
      <x:c r="B33" s="66" t="str">
        <x:v>Baseline</x:v>
      </x:c>
      <x:c r="C33" s="66" t="n">
        <x:v>22</x:v>
      </x:c>
      <x:c r="D33" s="66" t="str">
        <x:v>Yes</x:v>
      </x:c>
      <x:c r="E33" s="83" t="str">
        <x:f>IF(C33&lt;=24,"Yes","No")</x:f>
        <x:v>Yes</x:v>
      </x:c>
      <x:c r="F33" s="66" t="str">
        <x:v>Fictional; quality assignment illustrative</x:v>
      </x:c>
      <x:c r="G33" s="3"/>
      <x:c r="H33" s="3" t="n">
        <x:v>18</x:v>
      </x:c>
      <x:c r="I33" s="3" t="n">
        <x:v>14</x:v>
      </x:c>
      <x:c r="J33" s="83" t="n">
        <x:f>ABS(I33-I32)</x:f>
        <x:v>2</x:v>
      </x:c>
      <x:c r="K33" s="3"/>
      <x:c r="L33" s="3" t="n">
        <x:v>18</x:v>
      </x:c>
      <x:c r="M33" s="3" t="n">
        <x:v>50</x:v>
      </x:c>
      <x:c r="N33" s="3" t="n">
        <x:v>10</x:v>
      </x:c>
      <x:c r="O33" s="90" t="n">
        <x:f>N33/M33</x:f>
        <x:v>0.2</x:v>
      </x:c>
      <x:c r="P33" s="3"/>
      <x:c r="Q33" s="3"/>
      <x:c r="R33" s="3"/>
    </x:row>
    <x:row r="34" ht="25" customHeight="1">
      <x:c r="A34" s="66" t="n">
        <x:v>23</x:v>
      </x:c>
      <x:c r="B34" s="66" t="str">
        <x:v>Baseline</x:v>
      </x:c>
      <x:c r="C34" s="66" t="n">
        <x:v>18</x:v>
      </x:c>
      <x:c r="D34" s="66" t="str">
        <x:v>Yes</x:v>
      </x:c>
      <x:c r="E34" s="83" t="str">
        <x:f>IF(C34&lt;=24,"Yes","No")</x:f>
        <x:v>Yes</x:v>
      </x:c>
      <x:c r="F34" s="66" t="str">
        <x:v>Fictional; quality assignment illustrative</x:v>
      </x:c>
      <x:c r="G34" s="3"/>
      <x:c r="H34" s="3" t="n">
        <x:v>19</x:v>
      </x:c>
      <x:c r="I34" s="3" t="n">
        <x:v>13</x:v>
      </x:c>
      <x:c r="J34" s="83" t="n">
        <x:f>ABS(I34-I33)</x:f>
        <x:v>1</x:v>
      </x:c>
      <x:c r="K34" s="3"/>
      <x:c r="L34" s="3" t="n">
        <x:v>19</x:v>
      </x:c>
      <x:c r="M34" s="3" t="n">
        <x:v>50</x:v>
      </x:c>
      <x:c r="N34" s="3" t="n">
        <x:v>12</x:v>
      </x:c>
      <x:c r="O34" s="90" t="n">
        <x:f>N34/M34</x:f>
        <x:v>0.24</x:v>
      </x:c>
      <x:c r="P34" s="3"/>
      <x:c r="Q34" s="3"/>
      <x:c r="R34" s="3"/>
    </x:row>
    <x:row r="35" ht="25" customHeight="1">
      <x:c r="A35" s="66" t="n">
        <x:v>24</x:v>
      </x:c>
      <x:c r="B35" s="66" t="str">
        <x:v>Baseline</x:v>
      </x:c>
      <x:c r="C35" s="66" t="n">
        <x:v>24</x:v>
      </x:c>
      <x:c r="D35" s="66" t="str">
        <x:v>Yes</x:v>
      </x:c>
      <x:c r="E35" s="83" t="str">
        <x:f>IF(C35&lt;=24,"Yes","No")</x:f>
        <x:v>Yes</x:v>
      </x:c>
      <x:c r="F35" s="66" t="str">
        <x:v>Fictional; quality assignment illustrative</x:v>
      </x:c>
      <x:c r="G35" s="3"/>
      <x:c r="H35" s="3" t="n">
        <x:v>20</x:v>
      </x:c>
      <x:c r="I35" s="3" t="n">
        <x:v>12</x:v>
      </x:c>
      <x:c r="J35" s="83" t="n">
        <x:f>ABS(I35-I34)</x:f>
        <x:v>1</x:v>
      </x:c>
      <x:c r="K35" s="3"/>
      <x:c r="L35" s="3" t="n">
        <x:v>20</x:v>
      </x:c>
      <x:c r="M35" s="3" t="n">
        <x:v>50</x:v>
      </x:c>
      <x:c r="N35" s="3" t="n">
        <x:v>10</x:v>
      </x:c>
      <x:c r="O35" s="90" t="n">
        <x:f>N35/M35</x:f>
        <x:v>0.2</x:v>
      </x:c>
      <x:c r="P35" s="3"/>
      <x:c r="Q35" s="3"/>
      <x:c r="R35" s="3"/>
    </x:row>
    <x:row r="36" ht="25" customHeight="1">
      <x:c r="A36" s="66" t="n">
        <x:v>25</x:v>
      </x:c>
      <x:c r="B36" s="66" t="str">
        <x:v>Baseline</x:v>
      </x:c>
      <x:c r="C36" s="66" t="n">
        <x:v>100</x:v>
      </x:c>
      <x:c r="D36" s="66" t="str">
        <x:v>Yes</x:v>
      </x:c>
      <x:c r="E36" s="83" t="str">
        <x:f>IF(C36&lt;=24,"Yes","No")</x:f>
        <x:v>No</x:v>
      </x:c>
      <x:c r="F36" s="66" t="str">
        <x:v>Fictional; quality assignment illustrative</x:v>
      </x:c>
      <x:c r="G36" s="3"/>
      <x:c r="H36" s="3" t="n">
        <x:v>21</x:v>
      </x:c>
      <x:c r="I36" s="3" t="n">
        <x:v>18</x:v>
      </x:c>
      <x:c r="J36" s="83" t="n">
        <x:f>ABS(I36-I35)</x:f>
        <x:v>6</x:v>
      </x:c>
      <x:c r="K36" s="3"/>
      <x:c r="L36" s="3" t="n">
        <x:v>21</x:v>
      </x:c>
      <x:c r="M36" s="3" t="n">
        <x:v>50</x:v>
      </x:c>
      <x:c r="N36" s="3" t="n">
        <x:v>20</x:v>
      </x:c>
      <x:c r="O36" s="90" t="n">
        <x:f>N36/M36</x:f>
        <x:v>0.4</x:v>
      </x:c>
      <x:c r="P36" s="3"/>
      <x:c r="Q36" s="3"/>
      <x:c r="R36" s="3"/>
    </x:row>
    <x:row r="37" ht="23" customHeight="1">
      <x:c r="A37" s="66" t="n">
        <x:v>26</x:v>
      </x:c>
      <x:c r="B37" s="66" t="str">
        <x:v>Baseline</x:v>
      </x:c>
      <x:c r="C37" s="66" t="n">
        <x:v>72</x:v>
      </x:c>
      <x:c r="D37" s="66" t="str">
        <x:v>Yes</x:v>
      </x:c>
      <x:c r="E37" s="83" t="str">
        <x:f>IF(C37&lt;=24,"Yes","No")</x:f>
        <x:v>No</x:v>
      </x:c>
      <x:c r="F37" s="66" t="str">
        <x:v>Fictional; quality assignment illustrative</x:v>
      </x:c>
      <x:c r="G37" s="3"/>
      <x:c r="H37" s="3"/>
      <x:c r="I37" s="3"/>
      <x:c r="J37" s="3"/>
      <x:c r="K37" s="3"/>
      <x:c r="L37" s="3"/>
      <x:c r="M37" s="3"/>
      <x:c r="N37" s="3"/>
      <x:c r="O37" s="3"/>
      <x:c r="P37" s="3"/>
      <x:c r="Q37" s="3"/>
      <x:c r="R37" s="3"/>
    </x:row>
    <x:row r="38" ht="23" customHeight="1">
      <x:c r="A38" s="66" t="n">
        <x:v>27</x:v>
      </x:c>
      <x:c r="B38" s="66" t="str">
        <x:v>Baseline</x:v>
      </x:c>
      <x:c r="C38" s="66" t="n">
        <x:v>132</x:v>
      </x:c>
      <x:c r="D38" s="66" t="str">
        <x:v>No</x:v>
      </x:c>
      <x:c r="E38" s="83" t="str">
        <x:f>IF(C38&lt;=24,"Yes","No")</x:f>
        <x:v>No</x:v>
      </x:c>
      <x:c r="F38" s="66" t="str">
        <x:v>Fictional; quality assignment illustrative</x:v>
      </x:c>
      <x:c r="G38" s="3"/>
      <x:c r="H38" s="3"/>
      <x:c r="I38" s="3"/>
      <x:c r="J38" s="3"/>
      <x:c r="K38" s="3"/>
      <x:c r="L38" s="3"/>
      <x:c r="M38" s="3"/>
      <x:c r="N38" s="3"/>
      <x:c r="O38" s="3"/>
      <x:c r="P38" s="3"/>
      <x:c r="Q38" s="3"/>
      <x:c r="R38" s="3"/>
    </x:row>
    <x:row r="39" ht="23" customHeight="1">
      <x:c r="A39" s="66" t="n">
        <x:v>28</x:v>
      </x:c>
      <x:c r="B39" s="66" t="str">
        <x:v>Baseline</x:v>
      </x:c>
      <x:c r="C39" s="66" t="n">
        <x:v>60</x:v>
      </x:c>
      <x:c r="D39" s="66" t="str">
        <x:v>No</x:v>
      </x:c>
      <x:c r="E39" s="83" t="str">
        <x:f>IF(C39&lt;=24,"Yes","No")</x:f>
        <x:v>No</x:v>
      </x:c>
      <x:c r="F39" s="66" t="str">
        <x:v>Fictional; quality assignment illustrative</x:v>
      </x:c>
      <x:c r="G39" s="3"/>
      <x:c r="H39" s="136" t="str">
        <x:v>The first 20 I-MR observations and p-chart subgroups establish each fixed illustrative baseline. Observation/subgroup 21 is a monitoring test, not baseline data. These exercises are not the Project FLOW letter results.</x:v>
      </x:c>
      <x:c r="I39" s="136"/>
      <x:c r="J39" s="136"/>
      <x:c r="K39" s="136"/>
      <x:c r="L39" s="136"/>
      <x:c r="M39" s="136"/>
      <x:c r="N39" s="136"/>
      <x:c r="O39" s="136"/>
      <x:c r="P39" s="3"/>
      <x:c r="Q39" s="3"/>
      <x:c r="R39" s="3"/>
    </x:row>
    <x:row r="40" ht="23" customHeight="1">
      <x:c r="A40" s="66" t="n">
        <x:v>29</x:v>
      </x:c>
      <x:c r="B40" s="66" t="str">
        <x:v>Baseline</x:v>
      </x:c>
      <x:c r="C40" s="66" t="n">
        <x:v>76</x:v>
      </x:c>
      <x:c r="D40" s="66" t="str">
        <x:v>No</x:v>
      </x:c>
      <x:c r="E40" s="83" t="str">
        <x:f>IF(C40&lt;=24,"Yes","No")</x:f>
        <x:v>No</x:v>
      </x:c>
      <x:c r="F40" s="66" t="str">
        <x:v>Fictional; quality assignment illustrative</x:v>
      </x:c>
      <x:c r="G40" s="3"/>
      <x:c r="H40" s="136"/>
      <x:c r="I40" s="136"/>
      <x:c r="J40" s="136"/>
      <x:c r="K40" s="136"/>
      <x:c r="L40" s="136"/>
      <x:c r="M40" s="136"/>
      <x:c r="N40" s="136"/>
      <x:c r="O40" s="136"/>
      <x:c r="P40" s="3"/>
      <x:c r="Q40" s="3"/>
      <x:c r="R40" s="3"/>
    </x:row>
    <x:row r="41" ht="23" customHeight="1">
      <x:c r="A41" s="66" t="n">
        <x:v>30</x:v>
      </x:c>
      <x:c r="B41" s="66" t="str">
        <x:v>Baseline</x:v>
      </x:c>
      <x:c r="C41" s="66" t="n">
        <x:v>46</x:v>
      </x:c>
      <x:c r="D41" s="66" t="str">
        <x:v>No</x:v>
      </x:c>
      <x:c r="E41" s="83" t="str">
        <x:f>IF(C41&lt;=24,"Yes","No")</x:f>
        <x:v>No</x:v>
      </x:c>
      <x:c r="F41" s="66" t="str">
        <x:v>Fictional; quality assignment illustrative</x:v>
      </x:c>
      <x:c r="G41" s="3"/>
      <x:c r="H41" s="136"/>
      <x:c r="I41" s="136"/>
      <x:c r="J41" s="136"/>
      <x:c r="K41" s="136"/>
      <x:c r="L41" s="136"/>
      <x:c r="M41" s="136"/>
      <x:c r="N41" s="136"/>
      <x:c r="O41" s="136"/>
      <x:c r="P41" s="3"/>
      <x:c r="Q41" s="3"/>
      <x:c r="R41" s="3"/>
    </x:row>
    <x:row r="42" ht="23" customHeight="1">
      <x:c r="A42" s="66" t="n">
        <x:v>31</x:v>
      </x:c>
      <x:c r="B42" s="66" t="str">
        <x:v>Baseline</x:v>
      </x:c>
      <x:c r="C42" s="66" t="n">
        <x:v>20</x:v>
      </x:c>
      <x:c r="D42" s="66" t="str">
        <x:v>No</x:v>
      </x:c>
      <x:c r="E42" s="83" t="str">
        <x:f>IF(C42&lt;=24,"Yes","No")</x:f>
        <x:v>Yes</x:v>
      </x:c>
      <x:c r="F42" s="66" t="str">
        <x:v>Fictional; quality assignment illustrative</x:v>
      </x:c>
      <x:c r="G42" s="3"/>
      <x:c r="H42" s="136"/>
      <x:c r="I42" s="136"/>
      <x:c r="J42" s="136"/>
      <x:c r="K42" s="136"/>
      <x:c r="L42" s="136"/>
      <x:c r="M42" s="136"/>
      <x:c r="N42" s="136"/>
      <x:c r="O42" s="136"/>
      <x:c r="P42" s="3"/>
      <x:c r="Q42" s="3"/>
      <x:c r="R42" s="3"/>
    </x:row>
    <x:row r="43" ht="23" customHeight="1">
      <x:c r="A43" s="66" t="n">
        <x:v>32</x:v>
      </x:c>
      <x:c r="B43" s="66" t="str">
        <x:v>Baseline</x:v>
      </x:c>
      <x:c r="C43" s="66" t="n">
        <x:v>80</x:v>
      </x:c>
      <x:c r="D43" s="66" t="str">
        <x:v>No</x:v>
      </x:c>
      <x:c r="E43" s="83" t="str">
        <x:f>IF(C43&lt;=24,"Yes","No")</x:f>
        <x:v>No</x:v>
      </x:c>
      <x:c r="F43" s="66" t="str">
        <x:v>Fictional; quality assignment illustrative</x:v>
      </x:c>
      <x:c r="G43" s="3"/>
      <x:c r="H43" s="3"/>
      <x:c r="I43" s="3"/>
      <x:c r="J43" s="3"/>
      <x:c r="K43" s="3"/>
      <x:c r="L43" s="3"/>
      <x:c r="M43" s="3"/>
      <x:c r="N43" s="3"/>
      <x:c r="O43" s="3"/>
      <x:c r="P43" s="3"/>
      <x:c r="Q43" s="3"/>
      <x:c r="R43" s="3"/>
    </x:row>
    <x:row r="44" ht="23" customHeight="1">
      <x:c r="A44" s="66" t="n">
        <x:v>33</x:v>
      </x:c>
      <x:c r="B44" s="66" t="str">
        <x:v>Baseline</x:v>
      </x:c>
      <x:c r="C44" s="66" t="n">
        <x:v>64</x:v>
      </x:c>
      <x:c r="D44" s="66" t="str">
        <x:v>No</x:v>
      </x:c>
      <x:c r="E44" s="83" t="str">
        <x:f>IF(C44&lt;=24,"Yes","No")</x:f>
        <x:v>No</x:v>
      </x:c>
      <x:c r="F44" s="66" t="str">
        <x:v>Fictional; quality assignment illustrative</x:v>
      </x:c>
      <x:c r="G44" s="3"/>
      <x:c r="H44" s="136" t="str">
        <x:v>The synthetic elapsed-time observations retain a defined illustrative request order; they are not sorted by duration. Case descriptions use aggregate medians and rates. No timing observations in this workbook represent a real employee or event.</x:v>
      </x:c>
      <x:c r="I44" s="136"/>
      <x:c r="J44" s="136"/>
      <x:c r="K44" s="136"/>
      <x:c r="L44" s="136"/>
      <x:c r="M44" s="136"/>
      <x:c r="N44" s="136"/>
      <x:c r="O44" s="136"/>
      <x:c r="P44" s="3"/>
      <x:c r="Q44" s="3"/>
      <x:c r="R44" s="3"/>
    </x:row>
    <x:row r="45" ht="23" customHeight="1">
      <x:c r="A45" s="66" t="n">
        <x:v>34</x:v>
      </x:c>
      <x:c r="B45" s="66" t="str">
        <x:v>Baseline</x:v>
      </x:c>
      <x:c r="C45" s="66" t="n">
        <x:v>20</x:v>
      </x:c>
      <x:c r="D45" s="66" t="str">
        <x:v>No</x:v>
      </x:c>
      <x:c r="E45" s="83" t="str">
        <x:f>IF(C45&lt;=24,"Yes","No")</x:f>
        <x:v>Yes</x:v>
      </x:c>
      <x:c r="F45" s="66" t="str">
        <x:v>Fictional; quality assignment illustrative</x:v>
      </x:c>
      <x:c r="G45" s="3"/>
      <x:c r="H45" s="136"/>
      <x:c r="I45" s="136"/>
      <x:c r="J45" s="136"/>
      <x:c r="K45" s="136"/>
      <x:c r="L45" s="136"/>
      <x:c r="M45" s="136"/>
      <x:c r="N45" s="136"/>
      <x:c r="O45" s="136"/>
      <x:c r="P45" s="3"/>
      <x:c r="Q45" s="3"/>
      <x:c r="R45" s="3"/>
    </x:row>
    <x:row r="46" ht="23" customHeight="1">
      <x:c r="A46" s="66" t="n">
        <x:v>35</x:v>
      </x:c>
      <x:c r="B46" s="66" t="str">
        <x:v>Baseline</x:v>
      </x:c>
      <x:c r="C46" s="66" t="n">
        <x:v>36</x:v>
      </x:c>
      <x:c r="D46" s="66" t="str">
        <x:v>No</x:v>
      </x:c>
      <x:c r="E46" s="83" t="str">
        <x:f>IF(C46&lt;=24,"Yes","No")</x:f>
        <x:v>No</x:v>
      </x:c>
      <x:c r="F46" s="66" t="str">
        <x:v>Fictional; quality assignment illustrative</x:v>
      </x:c>
      <x:c r="G46" s="3"/>
      <x:c r="H46" s="136"/>
      <x:c r="I46" s="136"/>
      <x:c r="J46" s="136"/>
      <x:c r="K46" s="136"/>
      <x:c r="L46" s="136"/>
      <x:c r="M46" s="136"/>
      <x:c r="N46" s="136"/>
      <x:c r="O46" s="136"/>
      <x:c r="P46" s="3"/>
      <x:c r="Q46" s="3"/>
      <x:c r="R46" s="3"/>
    </x:row>
    <x:row r="47" ht="23" customHeight="1">
      <x:c r="A47" s="66" t="n">
        <x:v>36</x:v>
      </x:c>
      <x:c r="B47" s="66" t="str">
        <x:v>Baseline</x:v>
      </x:c>
      <x:c r="C47" s="66" t="n">
        <x:v>24</x:v>
      </x:c>
      <x:c r="D47" s="66" t="str">
        <x:v>No</x:v>
      </x:c>
      <x:c r="E47" s="83" t="str">
        <x:f>IF(C47&lt;=24,"Yes","No")</x:f>
        <x:v>Yes</x:v>
      </x:c>
      <x:c r="F47" s="66" t="str">
        <x:v>Fictional; quality assignment illustrative</x:v>
      </x:c>
      <x:c r="G47" s="3"/>
      <x:c r="H47" s="136"/>
      <x:c r="I47" s="136"/>
      <x:c r="J47" s="136"/>
      <x:c r="K47" s="136"/>
      <x:c r="L47" s="136"/>
      <x:c r="M47" s="136"/>
      <x:c r="N47" s="136"/>
      <x:c r="O47" s="136"/>
      <x:c r="P47" s="3"/>
      <x:c r="Q47" s="3"/>
      <x:c r="R47" s="3"/>
    </x:row>
    <x:row r="48" ht="23" customHeight="1">
      <x:c r="A48" s="66" t="n">
        <x:v>37</x:v>
      </x:c>
      <x:c r="B48" s="66" t="str">
        <x:v>Baseline</x:v>
      </x:c>
      <x:c r="C48" s="66" t="n">
        <x:v>30</x:v>
      </x:c>
      <x:c r="D48" s="66" t="str">
        <x:v>No</x:v>
      </x:c>
      <x:c r="E48" s="83" t="str">
        <x:f>IF(C48&lt;=24,"Yes","No")</x:f>
        <x:v>No</x:v>
      </x:c>
      <x:c r="F48" s="66" t="str">
        <x:v>Fictional; quality assignment illustrative</x:v>
      </x:c>
      <x:c r="G48" s="3"/>
      <x:c r="H48" s="3"/>
      <x:c r="I48" s="3"/>
      <x:c r="J48" s="3"/>
      <x:c r="K48" s="3"/>
      <x:c r="L48" s="3"/>
      <x:c r="M48" s="3"/>
      <x:c r="N48" s="3"/>
      <x:c r="O48" s="3"/>
      <x:c r="P48" s="3"/>
      <x:c r="Q48" s="3"/>
      <x:c r="R48" s="3"/>
    </x:row>
    <x:row r="49" ht="23" customHeight="1">
      <x:c r="A49" s="66" t="n">
        <x:v>38</x:v>
      </x:c>
      <x:c r="B49" s="66" t="str">
        <x:v>Baseline</x:v>
      </x:c>
      <x:c r="C49" s="66" t="n">
        <x:v>16</x:v>
      </x:c>
      <x:c r="D49" s="66" t="str">
        <x:v>No</x:v>
      </x:c>
      <x:c r="E49" s="83" t="str">
        <x:f>IF(C49&lt;=24,"Yes","No")</x:f>
        <x:v>Yes</x:v>
      </x:c>
      <x:c r="F49" s="66" t="str">
        <x:v>Fictional; quality assignment illustrative</x:v>
      </x:c>
      <x:c r="G49" s="3"/>
      <x:c r="H49" s="3"/>
      <x:c r="I49" s="3"/>
      <x:c r="J49" s="3"/>
      <x:c r="K49" s="3"/>
      <x:c r="L49" s="3"/>
      <x:c r="M49" s="3"/>
      <x:c r="N49" s="3"/>
      <x:c r="O49" s="3"/>
      <x:c r="P49" s="3"/>
      <x:c r="Q49" s="3"/>
      <x:c r="R49" s="3"/>
    </x:row>
    <x:row r="50" ht="23" customHeight="1">
      <x:c r="A50" s="66" t="n">
        <x:v>39</x:v>
      </x:c>
      <x:c r="B50" s="66" t="str">
        <x:v>Baseline</x:v>
      </x:c>
      <x:c r="C50" s="66" t="n">
        <x:v>18</x:v>
      </x:c>
      <x:c r="D50" s="66" t="str">
        <x:v>No</x:v>
      </x:c>
      <x:c r="E50" s="83" t="str">
        <x:f>IF(C50&lt;=24,"Yes","No")</x:f>
        <x:v>Yes</x:v>
      </x:c>
      <x:c r="F50" s="66" t="str">
        <x:v>Fictional; quality assignment illustrative</x:v>
      </x:c>
      <x:c r="G50" s="3"/>
      <x:c r="H50" s="3"/>
      <x:c r="I50" s="3"/>
      <x:c r="J50" s="3"/>
      <x:c r="K50" s="3"/>
      <x:c r="L50" s="3"/>
      <x:c r="M50" s="3"/>
      <x:c r="N50" s="3"/>
      <x:c r="O50" s="3"/>
      <x:c r="P50" s="3"/>
      <x:c r="Q50" s="3"/>
      <x:c r="R50" s="3"/>
    </x:row>
    <x:row r="51" ht="23" customHeight="1">
      <x:c r="A51" s="66" t="n">
        <x:v>40</x:v>
      </x:c>
      <x:c r="B51" s="66" t="str">
        <x:v>Baseline</x:v>
      </x:c>
      <x:c r="C51" s="66" t="n">
        <x:v>24</x:v>
      </x:c>
      <x:c r="D51" s="66" t="str">
        <x:v>No</x:v>
      </x:c>
      <x:c r="E51" s="83" t="str">
        <x:f>IF(C51&lt;=24,"Yes","No")</x:f>
        <x:v>Yes</x:v>
      </x:c>
      <x:c r="F51" s="66" t="str">
        <x:v>Fictional; quality assignment illustrative</x:v>
      </x:c>
      <x:c r="G51" s="3"/>
      <x:c r="H51" s="3"/>
      <x:c r="I51" s="3"/>
      <x:c r="J51" s="3"/>
      <x:c r="K51" s="3"/>
      <x:c r="L51" s="3"/>
      <x:c r="M51" s="3"/>
      <x:c r="N51" s="3"/>
      <x:c r="O51" s="3"/>
      <x:c r="P51" s="3"/>
      <x:c r="Q51" s="3"/>
      <x:c r="R51" s="3"/>
    </x:row>
    <x:row r="52" ht="23" customHeight="1">
      <x:c r="A52" s="66" t="n">
        <x:v>41</x:v>
      </x:c>
      <x:c r="B52" s="66" t="str">
        <x:v>C01</x:v>
      </x:c>
      <x:c r="C52" s="66" t="n">
        <x:v>36</x:v>
      </x:c>
      <x:c r="D52" s="66" t="str">
        <x:v>Yes</x:v>
      </x:c>
      <x:c r="E52" s="83" t="str">
        <x:f>IF(C52&lt;=24,"Yes","No")</x:f>
        <x:v>No</x:v>
      </x:c>
      <x:c r="F52" s="66" t="str">
        <x:v>Fictional; quality assignment illustrative</x:v>
      </x:c>
      <x:c r="G52" s="3"/>
      <x:c r="H52" s="3"/>
      <x:c r="I52" s="3"/>
      <x:c r="J52" s="3"/>
      <x:c r="K52" s="3"/>
      <x:c r="L52" s="3"/>
      <x:c r="M52" s="3"/>
      <x:c r="N52" s="3"/>
      <x:c r="O52" s="3"/>
      <x:c r="P52" s="3"/>
      <x:c r="Q52" s="3"/>
      <x:c r="R52" s="3"/>
    </x:row>
    <x:row r="53" ht="23" customHeight="1">
      <x:c r="A53" s="66" t="n">
        <x:v>42</x:v>
      </x:c>
      <x:c r="B53" s="66" t="str">
        <x:v>C01</x:v>
      </x:c>
      <x:c r="C53" s="66" t="n">
        <x:v>16</x:v>
      </x:c>
      <x:c r="D53" s="66" t="str">
        <x:v>Yes</x:v>
      </x:c>
      <x:c r="E53" s="83" t="str">
        <x:f>IF(C53&lt;=24,"Yes","No")</x:f>
        <x:v>Yes</x:v>
      </x:c>
      <x:c r="F53" s="66" t="str">
        <x:v>Fictional; quality assignment illustrative</x:v>
      </x:c>
      <x:c r="G53" s="3"/>
      <x:c r="H53" s="3"/>
      <x:c r="I53" s="3"/>
      <x:c r="J53" s="3"/>
      <x:c r="K53" s="3"/>
      <x:c r="L53" s="3"/>
      <x:c r="M53" s="3"/>
      <x:c r="N53" s="3"/>
      <x:c r="O53" s="3"/>
      <x:c r="P53" s="3"/>
      <x:c r="Q53" s="3"/>
      <x:c r="R53" s="3"/>
    </x:row>
    <x:row r="54" ht="23" customHeight="1">
      <x:c r="A54" s="66" t="n">
        <x:v>43</x:v>
      </x:c>
      <x:c r="B54" s="66" t="str">
        <x:v>C01</x:v>
      </x:c>
      <x:c r="C54" s="66" t="n">
        <x:v>12</x:v>
      </x:c>
      <x:c r="D54" s="66" t="str">
        <x:v>Yes</x:v>
      </x:c>
      <x:c r="E54" s="83" t="str">
        <x:f>IF(C54&lt;=24,"Yes","No")</x:f>
        <x:v>Yes</x:v>
      </x:c>
      <x:c r="F54" s="66" t="str">
        <x:v>Fictional; quality assignment illustrative</x:v>
      </x:c>
      <x:c r="G54" s="3"/>
      <x:c r="H54" s="3"/>
      <x:c r="I54" s="3"/>
      <x:c r="J54" s="3"/>
      <x:c r="K54" s="3"/>
      <x:c r="L54" s="3"/>
      <x:c r="M54" s="3"/>
      <x:c r="N54" s="3"/>
      <x:c r="O54" s="3"/>
      <x:c r="P54" s="3"/>
      <x:c r="Q54" s="3"/>
      <x:c r="R54" s="3"/>
    </x:row>
    <x:row r="55" ht="23" customHeight="1">
      <x:c r="A55" s="66" t="n">
        <x:v>44</x:v>
      </x:c>
      <x:c r="B55" s="66" t="str">
        <x:v>C01</x:v>
      </x:c>
      <x:c r="C55" s="66" t="n">
        <x:v>48</x:v>
      </x:c>
      <x:c r="D55" s="66" t="str">
        <x:v>No</x:v>
      </x:c>
      <x:c r="E55" s="83" t="str">
        <x:f>IF(C55&lt;=24,"Yes","No")</x:f>
        <x:v>No</x:v>
      </x:c>
      <x:c r="F55" s="66" t="str">
        <x:v>Fictional; quality assignment illustrative</x:v>
      </x:c>
      <x:c r="G55" s="3"/>
      <x:c r="H55" s="3"/>
      <x:c r="I55" s="3"/>
      <x:c r="J55" s="3"/>
      <x:c r="K55" s="3"/>
      <x:c r="L55" s="3"/>
      <x:c r="M55" s="3"/>
      <x:c r="N55" s="3"/>
      <x:c r="O55" s="3"/>
      <x:c r="P55" s="3"/>
      <x:c r="Q55" s="3"/>
      <x:c r="R55" s="3"/>
    </x:row>
    <x:row r="56" ht="23" customHeight="1">
      <x:c r="A56" s="66" t="n">
        <x:v>45</x:v>
      </x:c>
      <x:c r="B56" s="66" t="str">
        <x:v>C01</x:v>
      </x:c>
      <x:c r="C56" s="66" t="n">
        <x:v>20</x:v>
      </x:c>
      <x:c r="D56" s="66" t="str">
        <x:v>No</x:v>
      </x:c>
      <x:c r="E56" s="83" t="str">
        <x:f>IF(C56&lt;=24,"Yes","No")</x:f>
        <x:v>Yes</x:v>
      </x:c>
      <x:c r="F56" s="66" t="str">
        <x:v>Fictional; quality assignment illustrative</x:v>
      </x:c>
      <x:c r="G56" s="3"/>
      <x:c r="H56" s="3"/>
      <x:c r="I56" s="3"/>
      <x:c r="J56" s="3"/>
      <x:c r="K56" s="3"/>
      <x:c r="L56" s="3"/>
      <x:c r="M56" s="3"/>
      <x:c r="N56" s="3"/>
      <x:c r="O56" s="3"/>
      <x:c r="P56" s="3"/>
      <x:c r="Q56" s="3"/>
      <x:c r="R56" s="3"/>
    </x:row>
    <x:row r="57" ht="23" customHeight="1">
      <x:c r="A57" s="66" t="n">
        <x:v>46</x:v>
      </x:c>
      <x:c r="B57" s="66" t="str">
        <x:v>C02</x:v>
      </x:c>
      <x:c r="C57" s="66" t="n">
        <x:v>16</x:v>
      </x:c>
      <x:c r="D57" s="66" t="str">
        <x:v>Yes</x:v>
      </x:c>
      <x:c r="E57" s="83" t="str">
        <x:f>IF(C57&lt;=24,"Yes","No")</x:f>
        <x:v>Yes</x:v>
      </x:c>
      <x:c r="F57" s="66" t="str">
        <x:v>Fictional; quality assignment illustrative</x:v>
      </x:c>
      <x:c r="G57" s="3"/>
      <x:c r="H57" s="3"/>
      <x:c r="I57" s="3"/>
      <x:c r="J57" s="3"/>
      <x:c r="K57" s="3"/>
      <x:c r="L57" s="3"/>
      <x:c r="M57" s="3"/>
      <x:c r="N57" s="3"/>
      <x:c r="O57" s="3"/>
      <x:c r="P57" s="3"/>
      <x:c r="Q57" s="3"/>
      <x:c r="R57" s="3"/>
    </x:row>
    <x:row r="58" ht="23" customHeight="1">
      <x:c r="A58" s="66" t="n">
        <x:v>47</x:v>
      </x:c>
      <x:c r="B58" s="66" t="str">
        <x:v>C02</x:v>
      </x:c>
      <x:c r="C58" s="66" t="n">
        <x:v>8</x:v>
      </x:c>
      <x:c r="D58" s="66" t="str">
        <x:v>Yes</x:v>
      </x:c>
      <x:c r="E58" s="83" t="str">
        <x:f>IF(C58&lt;=24,"Yes","No")</x:f>
        <x:v>Yes</x:v>
      </x:c>
      <x:c r="F58" s="66" t="str">
        <x:v>Fictional; quality assignment illustrative</x:v>
      </x:c>
      <x:c r="G58" s="3"/>
      <x:c r="H58" s="3"/>
      <x:c r="I58" s="3"/>
      <x:c r="J58" s="3"/>
      <x:c r="K58" s="3"/>
      <x:c r="L58" s="3"/>
      <x:c r="M58" s="3"/>
      <x:c r="N58" s="3"/>
      <x:c r="O58" s="3"/>
      <x:c r="P58" s="3"/>
      <x:c r="Q58" s="3"/>
      <x:c r="R58" s="3"/>
    </x:row>
    <x:row r="59" ht="23" customHeight="1">
      <x:c r="A59" s="66" t="n">
        <x:v>48</x:v>
      </x:c>
      <x:c r="B59" s="66" t="str">
        <x:v>C02</x:v>
      </x:c>
      <x:c r="C59" s="66" t="n">
        <x:v>20</x:v>
      </x:c>
      <x:c r="D59" s="66" t="str">
        <x:v>Yes</x:v>
      </x:c>
      <x:c r="E59" s="83" t="str">
        <x:f>IF(C59&lt;=24,"Yes","No")</x:f>
        <x:v>Yes</x:v>
      </x:c>
      <x:c r="F59" s="66" t="str">
        <x:v>Fictional; quality assignment illustrative</x:v>
      </x:c>
      <x:c r="G59" s="3"/>
      <x:c r="H59" s="3"/>
      <x:c r="I59" s="3"/>
      <x:c r="J59" s="3"/>
      <x:c r="K59" s="3"/>
      <x:c r="L59" s="3"/>
      <x:c r="M59" s="3"/>
      <x:c r="N59" s="3"/>
      <x:c r="O59" s="3"/>
      <x:c r="P59" s="3"/>
      <x:c r="Q59" s="3"/>
      <x:c r="R59" s="3"/>
    </x:row>
    <x:row r="60" ht="23" customHeight="1">
      <x:c r="A60" s="66" t="n">
        <x:v>49</x:v>
      </x:c>
      <x:c r="B60" s="66" t="str">
        <x:v>C02</x:v>
      </x:c>
      <x:c r="C60" s="66" t="n">
        <x:v>14</x:v>
      </x:c>
      <x:c r="D60" s="66" t="str">
        <x:v>Yes</x:v>
      </x:c>
      <x:c r="E60" s="83" t="str">
        <x:f>IF(C60&lt;=24,"Yes","No")</x:f>
        <x:v>Yes</x:v>
      </x:c>
      <x:c r="F60" s="66" t="str">
        <x:v>Fictional; quality assignment illustrative</x:v>
      </x:c>
      <x:c r="G60" s="3"/>
      <x:c r="H60" s="3"/>
      <x:c r="I60" s="3"/>
      <x:c r="J60" s="3"/>
      <x:c r="K60" s="3"/>
      <x:c r="L60" s="3"/>
      <x:c r="M60" s="3"/>
      <x:c r="N60" s="3"/>
      <x:c r="O60" s="3"/>
      <x:c r="P60" s="3"/>
      <x:c r="Q60" s="3"/>
      <x:c r="R60" s="3"/>
    </x:row>
    <x:row r="61" ht="23" customHeight="1">
      <x:c r="A61" s="66" t="n">
        <x:v>50</x:v>
      </x:c>
      <x:c r="B61" s="66" t="str">
        <x:v>C02</x:v>
      </x:c>
      <x:c r="C61" s="66" t="n">
        <x:v>10</x:v>
      </x:c>
      <x:c r="D61" s="66" t="str">
        <x:v>Yes</x:v>
      </x:c>
      <x:c r="E61" s="83" t="str">
        <x:f>IF(C61&lt;=24,"Yes","No")</x:f>
        <x:v>Yes</x:v>
      </x:c>
      <x:c r="F61" s="66" t="str">
        <x:v>Fictional; quality assignment illustrative</x:v>
      </x:c>
      <x:c r="G61" s="3"/>
      <x:c r="H61" s="3"/>
      <x:c r="I61" s="3"/>
      <x:c r="J61" s="3"/>
      <x:c r="K61" s="3"/>
      <x:c r="L61" s="3"/>
      <x:c r="M61" s="3"/>
      <x:c r="N61" s="3"/>
      <x:c r="O61" s="3"/>
      <x:c r="P61" s="3"/>
      <x:c r="Q61" s="3"/>
      <x:c r="R61" s="3"/>
    </x:row>
    <x:row r="62" ht="23" customHeight="1">
      <x:c r="A62" s="66" t="n">
        <x:v>51</x:v>
      </x:c>
      <x:c r="B62" s="66" t="str">
        <x:v>C02</x:v>
      </x:c>
      <x:c r="C62" s="66" t="n">
        <x:v>24</x:v>
      </x:c>
      <x:c r="D62" s="66" t="str">
        <x:v>Yes</x:v>
      </x:c>
      <x:c r="E62" s="83" t="str">
        <x:f>IF(C62&lt;=24,"Yes","No")</x:f>
        <x:v>Yes</x:v>
      </x:c>
      <x:c r="F62" s="66" t="str">
        <x:v>Fictional; quality assignment illustrative</x:v>
      </x:c>
      <x:c r="G62" s="3"/>
      <x:c r="H62" s="3"/>
      <x:c r="I62" s="3"/>
      <x:c r="J62" s="3"/>
      <x:c r="K62" s="3"/>
      <x:c r="L62" s="3"/>
      <x:c r="M62" s="3"/>
      <x:c r="N62" s="3"/>
      <x:c r="O62" s="3"/>
      <x:c r="P62" s="3"/>
      <x:c r="Q62" s="3"/>
      <x:c r="R62" s="3"/>
    </x:row>
    <x:row r="63" ht="23" customHeight="1">
      <x:c r="A63" s="66" t="n">
        <x:v>52</x:v>
      </x:c>
      <x:c r="B63" s="66" t="str">
        <x:v>C02</x:v>
      </x:c>
      <x:c r="C63" s="66" t="n">
        <x:v>48</x:v>
      </x:c>
      <x:c r="D63" s="66" t="str">
        <x:v>Yes</x:v>
      </x:c>
      <x:c r="E63" s="83" t="str">
        <x:f>IF(C63&lt;=24,"Yes","No")</x:f>
        <x:v>No</x:v>
      </x:c>
      <x:c r="F63" s="66" t="str">
        <x:v>Fictional; quality assignment illustrative</x:v>
      </x:c>
      <x:c r="G63" s="3"/>
      <x:c r="H63" s="3"/>
      <x:c r="I63" s="3"/>
      <x:c r="J63" s="3"/>
      <x:c r="K63" s="3"/>
      <x:c r="L63" s="3"/>
      <x:c r="M63" s="3"/>
      <x:c r="N63" s="3"/>
      <x:c r="O63" s="3"/>
      <x:c r="P63" s="3"/>
      <x:c r="Q63" s="3"/>
      <x:c r="R63" s="3"/>
    </x:row>
    <x:row r="64" ht="23" customHeight="1">
      <x:c r="A64" s="66" t="n">
        <x:v>53</x:v>
      </x:c>
      <x:c r="B64" s="66" t="str">
        <x:v>C02</x:v>
      </x:c>
      <x:c r="C64" s="66" t="n">
        <x:v>12</x:v>
      </x:c>
      <x:c r="D64" s="66" t="str">
        <x:v>Yes</x:v>
      </x:c>
      <x:c r="E64" s="83" t="str">
        <x:f>IF(C64&lt;=24,"Yes","No")</x:f>
        <x:v>Yes</x:v>
      </x:c>
      <x:c r="F64" s="66" t="str">
        <x:v>Fictional; quality assignment illustrative</x:v>
      </x:c>
      <x:c r="G64" s="3"/>
      <x:c r="H64" s="3"/>
      <x:c r="I64" s="3"/>
      <x:c r="J64" s="3"/>
      <x:c r="K64" s="3"/>
      <x:c r="L64" s="3"/>
      <x:c r="M64" s="3"/>
      <x:c r="N64" s="3"/>
      <x:c r="O64" s="3"/>
      <x:c r="P64" s="3"/>
      <x:c r="Q64" s="3"/>
      <x:c r="R64" s="3"/>
    </x:row>
    <x:row r="65" ht="23" customHeight="1">
      <x:c r="A65" s="66" t="n">
        <x:v>54</x:v>
      </x:c>
      <x:c r="B65" s="66" t="str">
        <x:v>C02</x:v>
      </x:c>
      <x:c r="C65" s="66" t="n">
        <x:v>16</x:v>
      </x:c>
      <x:c r="D65" s="66" t="str">
        <x:v>Yes</x:v>
      </x:c>
      <x:c r="E65" s="83" t="str">
        <x:f>IF(C65&lt;=24,"Yes","No")</x:f>
        <x:v>Yes</x:v>
      </x:c>
      <x:c r="F65" s="66" t="str">
        <x:v>Fictional; quality assignment illustrative</x:v>
      </x:c>
      <x:c r="G65" s="3"/>
      <x:c r="H65" s="3"/>
      <x:c r="I65" s="3"/>
      <x:c r="J65" s="3"/>
      <x:c r="K65" s="3"/>
      <x:c r="L65" s="3"/>
      <x:c r="M65" s="3"/>
      <x:c r="N65" s="3"/>
      <x:c r="O65" s="3"/>
      <x:c r="P65" s="3"/>
      <x:c r="Q65" s="3"/>
      <x:c r="R65" s="3"/>
    </x:row>
    <x:row r="66" ht="23" customHeight="1">
      <x:c r="A66" s="66" t="n">
        <x:v>55</x:v>
      </x:c>
      <x:c r="B66" s="66" t="str">
        <x:v>C02</x:v>
      </x:c>
      <x:c r="C66" s="66" t="n">
        <x:v>36</x:v>
      </x:c>
      <x:c r="D66" s="66" t="str">
        <x:v>No</x:v>
      </x:c>
      <x:c r="E66" s="83" t="str">
        <x:f>IF(C66&lt;=24,"Yes","No")</x:f>
        <x:v>No</x:v>
      </x:c>
      <x:c r="F66" s="66" t="str">
        <x:v>Fictional; quality assignment illustrative</x:v>
      </x:c>
      <x:c r="G66" s="3"/>
      <x:c r="H66" s="3"/>
      <x:c r="I66" s="3"/>
      <x:c r="J66" s="3"/>
      <x:c r="K66" s="3"/>
      <x:c r="L66" s="3"/>
      <x:c r="M66" s="3"/>
      <x:c r="N66" s="3"/>
      <x:c r="O66" s="3"/>
      <x:c r="P66" s="3"/>
      <x:c r="Q66" s="3"/>
      <x:c r="R66" s="3"/>
    </x:row>
    <x:row r="67" ht="23" customHeight="1">
      <x:c r="A67" s="66" t="n">
        <x:v>56</x:v>
      </x:c>
      <x:c r="B67" s="66" t="str">
        <x:v>C03</x:v>
      </x:c>
      <x:c r="C67" s="66" t="n">
        <x:v>18</x:v>
      </x:c>
      <x:c r="D67" s="66" t="str">
        <x:v>Yes</x:v>
      </x:c>
      <x:c r="E67" s="83" t="str">
        <x:f>IF(C67&lt;=24,"Yes","No")</x:f>
        <x:v>Yes</x:v>
      </x:c>
      <x:c r="F67" s="66" t="str">
        <x:v>Fictional; quality assignment illustrative</x:v>
      </x:c>
      <x:c r="G67" s="3"/>
      <x:c r="H67" s="3"/>
      <x:c r="I67" s="3"/>
      <x:c r="J67" s="3"/>
      <x:c r="K67" s="3"/>
      <x:c r="L67" s="3"/>
      <x:c r="M67" s="3"/>
      <x:c r="N67" s="3"/>
      <x:c r="O67" s="3"/>
      <x:c r="P67" s="3"/>
      <x:c r="Q67" s="3"/>
      <x:c r="R67" s="3"/>
    </x:row>
    <x:row r="68" ht="23" customHeight="1">
      <x:c r="A68" s="66" t="n">
        <x:v>57</x:v>
      </x:c>
      <x:c r="B68" s="66" t="str">
        <x:v>C03</x:v>
      </x:c>
      <x:c r="C68" s="66" t="n">
        <x:v>48</x:v>
      </x:c>
      <x:c r="D68" s="66" t="str">
        <x:v>Yes</x:v>
      </x:c>
      <x:c r="E68" s="83" t="str">
        <x:f>IF(C68&lt;=24,"Yes","No")</x:f>
        <x:v>No</x:v>
      </x:c>
      <x:c r="F68" s="66" t="str">
        <x:v>Fictional; quality assignment illustrative</x:v>
      </x:c>
      <x:c r="G68" s="3"/>
      <x:c r="H68" s="3"/>
      <x:c r="I68" s="3"/>
      <x:c r="J68" s="3"/>
      <x:c r="K68" s="3"/>
      <x:c r="L68" s="3"/>
      <x:c r="M68" s="3"/>
      <x:c r="N68" s="3"/>
      <x:c r="O68" s="3"/>
      <x:c r="P68" s="3"/>
      <x:c r="Q68" s="3"/>
      <x:c r="R68" s="3"/>
    </x:row>
    <x:row r="69" ht="23" customHeight="1">
      <x:c r="A69" s="66" t="n">
        <x:v>58</x:v>
      </x:c>
      <x:c r="B69" s="66" t="str">
        <x:v>C03</x:v>
      </x:c>
      <x:c r="C69" s="66" t="n">
        <x:v>12</x:v>
      </x:c>
      <x:c r="D69" s="66" t="str">
        <x:v>Yes</x:v>
      </x:c>
      <x:c r="E69" s="83" t="str">
        <x:f>IF(C69&lt;=24,"Yes","No")</x:f>
        <x:v>Yes</x:v>
      </x:c>
      <x:c r="F69" s="66" t="str">
        <x:v>Fictional; quality assignment illustrative</x:v>
      </x:c>
      <x:c r="G69" s="3"/>
      <x:c r="H69" s="3"/>
      <x:c r="I69" s="3"/>
      <x:c r="J69" s="3"/>
      <x:c r="K69" s="3"/>
      <x:c r="L69" s="3"/>
      <x:c r="M69" s="3"/>
      <x:c r="N69" s="3"/>
      <x:c r="O69" s="3"/>
      <x:c r="P69" s="3"/>
      <x:c r="Q69" s="3"/>
      <x:c r="R69" s="3"/>
    </x:row>
    <x:row r="70" ht="23" customHeight="1">
      <x:c r="A70" s="66" t="n">
        <x:v>59</x:v>
      </x:c>
      <x:c r="B70" s="66" t="str">
        <x:v>C03</x:v>
      </x:c>
      <x:c r="C70" s="66" t="n">
        <x:v>8</x:v>
      </x:c>
      <x:c r="D70" s="66" t="str">
        <x:v>Yes</x:v>
      </x:c>
      <x:c r="E70" s="83" t="str">
        <x:f>IF(C70&lt;=24,"Yes","No")</x:f>
        <x:v>Yes</x:v>
      </x:c>
      <x:c r="F70" s="66" t="str">
        <x:v>Fictional; quality assignment illustrative</x:v>
      </x:c>
      <x:c r="G70" s="3"/>
      <x:c r="H70" s="3"/>
      <x:c r="I70" s="3"/>
      <x:c r="J70" s="3"/>
      <x:c r="K70" s="3"/>
      <x:c r="L70" s="3"/>
      <x:c r="M70" s="3"/>
      <x:c r="N70" s="3"/>
      <x:c r="O70" s="3"/>
      <x:c r="P70" s="3"/>
      <x:c r="Q70" s="3"/>
      <x:c r="R70" s="3"/>
    </x:row>
    <x:row r="71" ht="23" customHeight="1">
      <x:c r="A71" s="66" t="n">
        <x:v>60</x:v>
      </x:c>
      <x:c r="B71" s="66" t="str">
        <x:v>C03</x:v>
      </x:c>
      <x:c r="C71" s="66" t="n">
        <x:v>20</x:v>
      </x:c>
      <x:c r="D71" s="66" t="str">
        <x:v>Yes</x:v>
      </x:c>
      <x:c r="E71" s="83" t="str">
        <x:f>IF(C71&lt;=24,"Yes","No")</x:f>
        <x:v>Yes</x:v>
      </x:c>
      <x:c r="F71" s="66" t="str">
        <x:v>Fictional; quality assignment illustrative</x:v>
      </x:c>
      <x:c r="G71" s="3"/>
      <x:c r="H71" s="3"/>
      <x:c r="I71" s="3"/>
      <x:c r="J71" s="3"/>
      <x:c r="K71" s="3"/>
      <x:c r="L71" s="3"/>
      <x:c r="M71" s="3"/>
      <x:c r="N71" s="3"/>
      <x:c r="O71" s="3"/>
      <x:c r="P71" s="3"/>
      <x:c r="Q71" s="3"/>
      <x:c r="R71" s="3"/>
    </x:row>
    <x:row r="72" ht="23" customHeight="1">
      <x:c r="A72" s="66" t="n">
        <x:v>61</x:v>
      </x:c>
      <x:c r="B72" s="66" t="str">
        <x:v>C03</x:v>
      </x:c>
      <x:c r="C72" s="66" t="n">
        <x:v>12</x:v>
      </x:c>
      <x:c r="D72" s="66" t="str">
        <x:v>Yes</x:v>
      </x:c>
      <x:c r="E72" s="83" t="str">
        <x:f>IF(C72&lt;=24,"Yes","No")</x:f>
        <x:v>Yes</x:v>
      </x:c>
      <x:c r="F72" s="66" t="str">
        <x:v>Fictional; quality assignment illustrative</x:v>
      </x:c>
      <x:c r="G72" s="3"/>
      <x:c r="H72" s="3"/>
      <x:c r="I72" s="3"/>
      <x:c r="J72" s="3"/>
      <x:c r="K72" s="3"/>
      <x:c r="L72" s="3"/>
      <x:c r="M72" s="3"/>
      <x:c r="N72" s="3"/>
      <x:c r="O72" s="3"/>
      <x:c r="P72" s="3"/>
      <x:c r="Q72" s="3"/>
      <x:c r="R72" s="3"/>
    </x:row>
    <x:row r="73" ht="23" customHeight="1">
      <x:c r="A73" s="66" t="n">
        <x:v>62</x:v>
      </x:c>
      <x:c r="B73" s="66" t="str">
        <x:v>C03</x:v>
      </x:c>
      <x:c r="C73" s="66" t="n">
        <x:v>12</x:v>
      </x:c>
      <x:c r="D73" s="66" t="str">
        <x:v>Yes</x:v>
      </x:c>
      <x:c r="E73" s="83" t="str">
        <x:f>IF(C73&lt;=24,"Yes","No")</x:f>
        <x:v>Yes</x:v>
      </x:c>
      <x:c r="F73" s="66" t="str">
        <x:v>Fictional; quality assignment illustrative</x:v>
      </x:c>
      <x:c r="G73" s="3"/>
      <x:c r="H73" s="3"/>
      <x:c r="I73" s="3"/>
      <x:c r="J73" s="3"/>
      <x:c r="K73" s="3"/>
      <x:c r="L73" s="3"/>
      <x:c r="M73" s="3"/>
      <x:c r="N73" s="3"/>
      <x:c r="O73" s="3"/>
      <x:c r="P73" s="3"/>
      <x:c r="Q73" s="3"/>
      <x:c r="R73" s="3"/>
    </x:row>
    <x:row r="74" ht="23" customHeight="1">
      <x:c r="A74" s="66" t="n">
        <x:v>63</x:v>
      </x:c>
      <x:c r="B74" s="66" t="str">
        <x:v>C03</x:v>
      </x:c>
      <x:c r="C74" s="66" t="n">
        <x:v>22</x:v>
      </x:c>
      <x:c r="D74" s="66" t="str">
        <x:v>Yes</x:v>
      </x:c>
      <x:c r="E74" s="83" t="str">
        <x:f>IF(C74&lt;=24,"Yes","No")</x:f>
        <x:v>Yes</x:v>
      </x:c>
      <x:c r="F74" s="66" t="str">
        <x:v>Fictional; quality assignment illustrative</x:v>
      </x:c>
      <x:c r="G74" s="3"/>
      <x:c r="H74" s="3"/>
      <x:c r="I74" s="3"/>
      <x:c r="J74" s="3"/>
      <x:c r="K74" s="3"/>
      <x:c r="L74" s="3"/>
      <x:c r="M74" s="3"/>
      <x:c r="N74" s="3"/>
      <x:c r="O74" s="3"/>
      <x:c r="P74" s="3"/>
      <x:c r="Q74" s="3"/>
      <x:c r="R74" s="3"/>
    </x:row>
    <x:row r="75" ht="23" customHeight="1">
      <x:c r="A75" s="66" t="n">
        <x:v>64</x:v>
      </x:c>
      <x:c r="B75" s="66" t="str">
        <x:v>C03</x:v>
      </x:c>
      <x:c r="C75" s="66" t="n">
        <x:v>6</x:v>
      </x:c>
      <x:c r="D75" s="66" t="str">
        <x:v>Yes</x:v>
      </x:c>
      <x:c r="E75" s="83" t="str">
        <x:f>IF(C75&lt;=24,"Yes","No")</x:f>
        <x:v>Yes</x:v>
      </x:c>
      <x:c r="F75" s="66" t="str">
        <x:v>Fictional; quality assignment illustrative</x:v>
      </x:c>
      <x:c r="G75" s="3"/>
      <x:c r="H75" s="3"/>
      <x:c r="I75" s="3"/>
      <x:c r="J75" s="3"/>
      <x:c r="K75" s="3"/>
      <x:c r="L75" s="3"/>
      <x:c r="M75" s="3"/>
      <x:c r="N75" s="3"/>
      <x:c r="O75" s="3"/>
      <x:c r="P75" s="3"/>
      <x:c r="Q75" s="3"/>
      <x:c r="R75" s="3"/>
    </x:row>
    <x:row r="76" ht="23" customHeight="1">
      <x:c r="A76" s="66" t="n">
        <x:v>65</x:v>
      </x:c>
      <x:c r="B76" s="66" t="str">
        <x:v>C03</x:v>
      </x:c>
      <x:c r="C76" s="66" t="n">
        <x:v>24</x:v>
      </x:c>
      <x:c r="D76" s="66" t="str">
        <x:v>Yes</x:v>
      </x:c>
      <x:c r="E76" s="83" t="str">
        <x:f>IF(C76&lt;=24,"Yes","No")</x:f>
        <x:v>Yes</x:v>
      </x:c>
      <x:c r="F76" s="66" t="str">
        <x:v>Fictional; quality assignment illustrative</x:v>
      </x:c>
      <x:c r="G76" s="3"/>
      <x:c r="H76" s="3"/>
      <x:c r="I76" s="3"/>
      <x:c r="J76" s="3"/>
      <x:c r="K76" s="3"/>
      <x:c r="L76" s="3"/>
      <x:c r="M76" s="3"/>
      <x:c r="N76" s="3"/>
      <x:c r="O76" s="3"/>
      <x:c r="P76" s="3"/>
      <x:c r="Q76" s="3"/>
      <x:c r="R76" s="3"/>
    </x:row>
    <x:row r="77" ht="23" customHeight="1">
      <x:c r="A77" s="66" t="n">
        <x:v>66</x:v>
      </x:c>
      <x:c r="B77" s="66" t="str">
        <x:v>C03</x:v>
      </x:c>
      <x:c r="C77" s="66" t="n">
        <x:v>36</x:v>
      </x:c>
      <x:c r="D77" s="66" t="str">
        <x:v>Yes</x:v>
      </x:c>
      <x:c r="E77" s="83" t="str">
        <x:f>IF(C77&lt;=24,"Yes","No")</x:f>
        <x:v>No</x:v>
      </x:c>
      <x:c r="F77" s="66" t="str">
        <x:v>Fictional; quality assignment illustrative</x:v>
      </x:c>
      <x:c r="G77" s="3"/>
      <x:c r="H77" s="3"/>
      <x:c r="I77" s="3"/>
      <x:c r="J77" s="3"/>
      <x:c r="K77" s="3"/>
      <x:c r="L77" s="3"/>
      <x:c r="M77" s="3"/>
      <x:c r="N77" s="3"/>
      <x:c r="O77" s="3"/>
      <x:c r="P77" s="3"/>
      <x:c r="Q77" s="3"/>
      <x:c r="R77" s="3"/>
    </x:row>
    <x:row r="78" ht="23" customHeight="1">
      <x:c r="A78" s="66" t="n">
        <x:v>67</x:v>
      </x:c>
      <x:c r="B78" s="66" t="str">
        <x:v>C03</x:v>
      </x:c>
      <x:c r="C78" s="66" t="n">
        <x:v>4</x:v>
      </x:c>
      <x:c r="D78" s="66" t="str">
        <x:v>Yes</x:v>
      </x:c>
      <x:c r="E78" s="83" t="str">
        <x:f>IF(C78&lt;=24,"Yes","No")</x:f>
        <x:v>Yes</x:v>
      </x:c>
      <x:c r="F78" s="66" t="str">
        <x:v>Fictional; quality assignment illustrative</x:v>
      </x:c>
      <x:c r="G78" s="3"/>
      <x:c r="H78" s="3"/>
      <x:c r="I78" s="3"/>
      <x:c r="J78" s="3"/>
      <x:c r="K78" s="3"/>
      <x:c r="L78" s="3"/>
      <x:c r="M78" s="3"/>
      <x:c r="N78" s="3"/>
      <x:c r="O78" s="3"/>
      <x:c r="P78" s="3"/>
      <x:c r="Q78" s="3"/>
      <x:c r="R78" s="3"/>
    </x:row>
    <x:row r="79" ht="23" customHeight="1">
      <x:c r="A79" s="66" t="n">
        <x:v>68</x:v>
      </x:c>
      <x:c r="B79" s="66" t="str">
        <x:v>C03</x:v>
      </x:c>
      <x:c r="C79" s="66" t="n">
        <x:v>12</x:v>
      </x:c>
      <x:c r="D79" s="66" t="str">
        <x:v>Yes</x:v>
      </x:c>
      <x:c r="E79" s="83" t="str">
        <x:f>IF(C79&lt;=24,"Yes","No")</x:f>
        <x:v>Yes</x:v>
      </x:c>
      <x:c r="F79" s="66" t="str">
        <x:v>Fictional; quality assignment illustrative</x:v>
      </x:c>
      <x:c r="G79" s="3"/>
      <x:c r="H79" s="3"/>
      <x:c r="I79" s="3"/>
      <x:c r="J79" s="3"/>
      <x:c r="K79" s="3"/>
      <x:c r="L79" s="3"/>
      <x:c r="M79" s="3"/>
      <x:c r="N79" s="3"/>
      <x:c r="O79" s="3"/>
      <x:c r="P79" s="3"/>
      <x:c r="Q79" s="3"/>
      <x:c r="R79" s="3"/>
    </x:row>
    <x:row r="80" ht="23" customHeight="1">
      <x:c r="A80" s="66" t="n">
        <x:v>69</x:v>
      </x:c>
      <x:c r="B80" s="66" t="str">
        <x:v>C03</x:v>
      </x:c>
      <x:c r="C80" s="66" t="n">
        <x:v>8</x:v>
      </x:c>
      <x:c r="D80" s="66" t="str">
        <x:v>Yes</x:v>
      </x:c>
      <x:c r="E80" s="83" t="str">
        <x:f>IF(C80&lt;=24,"Yes","No")</x:f>
        <x:v>Yes</x:v>
      </x:c>
      <x:c r="F80" s="66" t="str">
        <x:v>Fictional; quality assignment illustrative</x:v>
      </x:c>
      <x:c r="G80" s="3"/>
      <x:c r="H80" s="3"/>
      <x:c r="I80" s="3"/>
      <x:c r="J80" s="3"/>
      <x:c r="K80" s="3"/>
      <x:c r="L80" s="3"/>
      <x:c r="M80" s="3"/>
      <x:c r="N80" s="3"/>
      <x:c r="O80" s="3"/>
      <x:c r="P80" s="3"/>
      <x:c r="Q80" s="3"/>
      <x:c r="R80" s="3"/>
    </x:row>
    <x:row r="81" ht="23" customHeight="1">
      <x:c r="A81" s="66" t="n">
        <x:v>70</x:v>
      </x:c>
      <x:c r="B81" s="66" t="str">
        <x:v>C03</x:v>
      </x:c>
      <x:c r="C81" s="66" t="n">
        <x:v>40</x:v>
      </x:c>
      <x:c r="D81" s="66" t="str">
        <x:v>Yes</x:v>
      </x:c>
      <x:c r="E81" s="83" t="str">
        <x:f>IF(C81&lt;=24,"Yes","No")</x:f>
        <x:v>No</x:v>
      </x:c>
      <x:c r="F81" s="66" t="str">
        <x:v>Fictional; quality assignment illustrative</x:v>
      </x:c>
      <x:c r="G81" s="3"/>
      <x:c r="H81" s="3"/>
      <x:c r="I81" s="3"/>
      <x:c r="J81" s="3"/>
      <x:c r="K81" s="3"/>
      <x:c r="L81" s="3"/>
      <x:c r="M81" s="3"/>
      <x:c r="N81" s="3"/>
      <x:c r="O81" s="3"/>
      <x:c r="P81" s="3"/>
      <x:c r="Q81" s="3"/>
      <x:c r="R81" s="3"/>
    </x:row>
    <x:row r="82" ht="23" customHeight="1">
      <x:c r="A82" s="66" t="n">
        <x:v>71</x:v>
      </x:c>
      <x:c r="B82" s="66" t="str">
        <x:v>C03</x:v>
      </x:c>
      <x:c r="C82" s="66" t="n">
        <x:v>16</x:v>
      </x:c>
      <x:c r="D82" s="66" t="str">
        <x:v>Yes</x:v>
      </x:c>
      <x:c r="E82" s="83" t="str">
        <x:f>IF(C82&lt;=24,"Yes","No")</x:f>
        <x:v>Yes</x:v>
      </x:c>
      <x:c r="F82" s="66" t="str">
        <x:v>Fictional; quality assignment illustrative</x:v>
      </x:c>
      <x:c r="G82" s="3"/>
      <x:c r="H82" s="3"/>
      <x:c r="I82" s="3"/>
      <x:c r="J82" s="3"/>
      <x:c r="K82" s="3"/>
      <x:c r="L82" s="3"/>
      <x:c r="M82" s="3"/>
      <x:c r="N82" s="3"/>
      <x:c r="O82" s="3"/>
      <x:c r="P82" s="3"/>
      <x:c r="Q82" s="3"/>
      <x:c r="R82" s="3"/>
    </x:row>
    <x:row r="83" ht="23" customHeight="1">
      <x:c r="A83" s="66" t="n">
        <x:v>72</x:v>
      </x:c>
      <x:c r="B83" s="66" t="str">
        <x:v>C03</x:v>
      </x:c>
      <x:c r="C83" s="66" t="n">
        <x:v>10</x:v>
      </x:c>
      <x:c r="D83" s="66" t="str">
        <x:v>Yes</x:v>
      </x:c>
      <x:c r="E83" s="83" t="str">
        <x:f>IF(C83&lt;=24,"Yes","No")</x:f>
        <x:v>Yes</x:v>
      </x:c>
      <x:c r="F83" s="66" t="str">
        <x:v>Fictional; quality assignment illustrative</x:v>
      </x:c>
      <x:c r="G83" s="3"/>
      <x:c r="H83" s="3"/>
      <x:c r="I83" s="3"/>
      <x:c r="J83" s="3"/>
      <x:c r="K83" s="3"/>
      <x:c r="L83" s="3"/>
      <x:c r="M83" s="3"/>
      <x:c r="N83" s="3"/>
      <x:c r="O83" s="3"/>
      <x:c r="P83" s="3"/>
      <x:c r="Q83" s="3"/>
      <x:c r="R83" s="3"/>
    </x:row>
    <x:row r="84" ht="23" customHeight="1">
      <x:c r="A84" s="66" t="n">
        <x:v>73</x:v>
      </x:c>
      <x:c r="B84" s="66" t="str">
        <x:v>C03</x:v>
      </x:c>
      <x:c r="C84" s="66" t="n">
        <x:v>14</x:v>
      </x:c>
      <x:c r="D84" s="66" t="str">
        <x:v>Yes</x:v>
      </x:c>
      <x:c r="E84" s="83" t="str">
        <x:f>IF(C84&lt;=24,"Yes","No")</x:f>
        <x:v>Yes</x:v>
      </x:c>
      <x:c r="F84" s="66" t="str">
        <x:v>Fictional; quality assignment illustrative</x:v>
      </x:c>
      <x:c r="G84" s="3"/>
      <x:c r="H84" s="3"/>
      <x:c r="I84" s="3"/>
      <x:c r="J84" s="3"/>
      <x:c r="K84" s="3"/>
      <x:c r="L84" s="3"/>
      <x:c r="M84" s="3"/>
      <x:c r="N84" s="3"/>
      <x:c r="O84" s="3"/>
      <x:c r="P84" s="3"/>
      <x:c r="Q84" s="3"/>
      <x:c r="R84" s="3"/>
    </x:row>
    <x:row r="85" ht="23" customHeight="1">
      <x:c r="A85" s="66" t="n">
        <x:v>74</x:v>
      </x:c>
      <x:c r="B85" s="66" t="str">
        <x:v>C03</x:v>
      </x:c>
      <x:c r="C85" s="66" t="n">
        <x:v>10</x:v>
      </x:c>
      <x:c r="D85" s="66" t="str">
        <x:v>No</x:v>
      </x:c>
      <x:c r="E85" s="83" t="str">
        <x:f>IF(C85&lt;=24,"Yes","No")</x:f>
        <x:v>Yes</x:v>
      </x:c>
      <x:c r="F85" s="66" t="str">
        <x:v>Fictional; quality assignment illustrative</x:v>
      </x:c>
      <x:c r="G85" s="3"/>
      <x:c r="H85" s="3"/>
      <x:c r="I85" s="3"/>
      <x:c r="J85" s="3"/>
      <x:c r="K85" s="3"/>
      <x:c r="L85" s="3"/>
      <x:c r="M85" s="3"/>
      <x:c r="N85" s="3"/>
      <x:c r="O85" s="3"/>
      <x:c r="P85" s="3"/>
      <x:c r="Q85" s="3"/>
      <x:c r="R85" s="3"/>
    </x:row>
    <x:row r="86" ht="23" customHeight="1">
      <x:c r="A86" s="66" t="n">
        <x:v>75</x:v>
      </x:c>
      <x:c r="B86" s="66" t="str">
        <x:v>C03</x:v>
      </x:c>
      <x:c r="C86" s="66" t="n">
        <x:v>10</x:v>
      </x:c>
      <x:c r="D86" s="66" t="str">
        <x:v>No</x:v>
      </x:c>
      <x:c r="E86" s="83" t="str">
        <x:f>IF(C86&lt;=24,"Yes","No")</x:f>
        <x:v>Yes</x:v>
      </x:c>
      <x:c r="F86" s="66" t="str">
        <x:v>Fictional; quality assignment illustrative</x:v>
      </x:c>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8:L9"/>
    <x:mergeCell ref="H11:N13"/>
    <x:mergeCell ref="H39:O42"/>
    <x:mergeCell ref="H44:O47"/>
  </x:mergeCells>
  <x:pageMargins left="0.7" right="0.7" top="0.75" bottom="0.75" header="0.3" footer="0.3"/>
</x:worksheet>
</file>

<file path=xl/worksheets/sheet88.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35" hidden="0" customWidth="1"/>
    <x:col min="2" max="2" width="16" hidden="0" customWidth="1"/>
    <x:col min="3" max="3" width="31" hidden="0" customWidth="1"/>
    <x:col min="4" max="4" width="11" hidden="0" customWidth="1"/>
    <x:col min="5" max="5" width="39" hidden="0" customWidth="1"/>
    <x:col min="6" max="6" width="20" hidden="0" customWidth="1"/>
    <x:col min="7" max="7" width="44"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HR DELIVERY | EX Worked Calculations</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Process Improvement Framework &amp; Toolkit - companion working records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169" t="str">
        <x:v>FICTIONAL WORKED CALCULATIONS | No numbers on this sheet populate the live workbook.</x:v>
      </x:c>
      <x:c r="B8" s="169"/>
      <x:c r="C8" s="169"/>
      <x:c r="D8" s="169"/>
      <x:c r="E8" s="169"/>
      <x:c r="F8" s="169"/>
      <x:c r="G8" s="169"/>
      <x:c r="H8" s="169"/>
      <x:c r="I8" s="169"/>
      <x:c r="J8" s="169"/>
      <x:c r="K8" s="169"/>
      <x:c r="L8" s="169"/>
      <x:c r="M8" s="3"/>
      <x:c r="N8" s="3"/>
      <x:c r="O8" s="3"/>
      <x:c r="P8" s="3"/>
      <x:c r="Q8" s="3"/>
      <x:c r="R8" s="3"/>
    </x:row>
    <x:row r="9" ht="20" customHeight="1">
      <x:c r="A9" s="169"/>
      <x:c r="B9" s="169"/>
      <x:c r="C9" s="169"/>
      <x:c r="D9" s="169"/>
      <x:c r="E9" s="169"/>
      <x:c r="F9" s="169"/>
      <x:c r="G9" s="169"/>
      <x:c r="H9" s="169"/>
      <x:c r="I9" s="169"/>
      <x:c r="J9" s="169"/>
      <x:c r="K9" s="169"/>
      <x:c r="L9" s="169"/>
      <x:c r="M9" s="3"/>
      <x:c r="N9" s="3"/>
      <x:c r="O9" s="3"/>
      <x:c r="P9" s="3"/>
      <x:c r="Q9" s="3"/>
      <x:c r="R9" s="3"/>
    </x:row>
    <x:row r="10" ht="20" customHeight="1">
      <x:c r="A10" s="3"/>
      <x:c r="B10" s="3"/>
      <x:c r="C10" s="3"/>
      <x:c r="D10" s="3"/>
      <x:c r="E10" s="3"/>
      <x:c r="F10" s="3"/>
      <x:c r="G10" s="3"/>
      <x:c r="H10" s="3"/>
      <x:c r="I10" s="3"/>
      <x:c r="J10" s="3"/>
      <x:c r="K10" s="3"/>
      <x:c r="L10" s="3"/>
      <x:c r="M10" s="3"/>
      <x:c r="N10" s="3"/>
      <x:c r="O10" s="3"/>
      <x:c r="P10" s="3"/>
      <x:c r="Q10" s="3"/>
      <x:c r="R10" s="3"/>
    </x:row>
    <x:row r="11" ht="34" customHeight="1">
      <x:c r="A11" s="77" t="str">
        <x:v>Phase</x:v>
      </x:c>
      <x:c r="B11" s="77" t="str">
        <x:v>n</x:v>
      </x:c>
      <x:c r="C11" s="77" t="str">
        <x:v>Median hours</x:v>
      </x:c>
      <x:c r="D11" s="77" t="str">
        <x:v>Within 24h n</x:v>
      </x:c>
      <x:c r="E11" s="77" t="str">
        <x:v>Within 24h %</x:v>
      </x:c>
      <x:c r="F11" s="77" t="str">
        <x:v>First-pass n</x:v>
      </x:c>
      <x:c r="G11" s="77" t="str">
        <x:v>First-pass %</x:v>
      </x:c>
      <x:c r="H11" s="77" t="str">
        <x:v>Meaning</x:v>
      </x:c>
      <x:c r="I11" s="3"/>
      <x:c r="J11" s="3"/>
      <x:c r="K11" s="3"/>
      <x:c r="L11" s="3"/>
      <x:c r="M11" s="3"/>
      <x:c r="N11" s="3"/>
      <x:c r="O11" s="3"/>
      <x:c r="P11" s="3"/>
      <x:c r="Q11" s="3"/>
      <x:c r="R11" s="3"/>
    </x:row>
    <x:row r="12" ht="34" customHeight="1">
      <x:c r="A12" s="3" t="str">
        <x:v>Baseline</x:v>
      </x:c>
      <x:c r="B12" s="3" t="n">
        <x:f>COUNT('EX FLOW Data'!$C$12:$C$51)</x:f>
        <x:v>40</x:v>
      </x:c>
      <x:c r="C12" s="3" t="n">
        <x:f>MEDIAN('EX FLOW Data'!$C$12:$C$51)</x:f>
        <x:v>48</x:v>
      </x:c>
      <x:c r="D12" s="3" t="n">
        <x:f>COUNTIF('EX FLOW Data'!$C$12:$C$51,"&lt;=24")</x:f>
        <x:v>14</x:v>
      </x:c>
      <x:c r="E12" s="132" t="n">
        <x:f>D12/B12</x:f>
        <x:v>0.35</x:v>
      </x:c>
      <x:c r="F12" s="3" t="n">
        <x:f>COUNTIF('EX FLOW Data'!$D$12:$D$51,"Yes")</x:f>
        <x:v>26</x:v>
      </x:c>
      <x:c r="G12" s="132" t="n">
        <x:f>F12/B12</x:f>
        <x:v>0.65</x:v>
      </x:c>
      <x:c r="H12" s="3" t="str">
        <x:v>Descriptive, not a causal estimate</x:v>
      </x:c>
      <x:c r="I12" s="3"/>
      <x:c r="J12" s="3"/>
      <x:c r="K12" s="3"/>
      <x:c r="L12" s="3"/>
      <x:c r="M12" s="3"/>
      <x:c r="N12" s="3"/>
      <x:c r="O12" s="3"/>
      <x:c r="P12" s="3"/>
      <x:c r="Q12" s="3"/>
      <x:c r="R12" s="3"/>
    </x:row>
    <x:row r="13" ht="34" customHeight="1">
      <x:c r="A13" s="3" t="str">
        <x:v>C01</x:v>
      </x:c>
      <x:c r="B13" s="3" t="n">
        <x:f>COUNT('EX FLOW Data'!$C$52:$C$56)</x:f>
        <x:v>5</x:v>
      </x:c>
      <x:c r="C13" s="3" t="n">
        <x:f>MEDIAN('EX FLOW Data'!$C$52:$C$56)</x:f>
        <x:v>20</x:v>
      </x:c>
      <x:c r="D13" s="3" t="n">
        <x:f>COUNTIF('EX FLOW Data'!$C$52:$C$56,"&lt;=24")</x:f>
        <x:v>3</x:v>
      </x:c>
      <x:c r="E13" s="132" t="n">
        <x:f>D13/B13</x:f>
        <x:v>0.6</x:v>
      </x:c>
      <x:c r="F13" s="3" t="n">
        <x:f>COUNTIF('EX FLOW Data'!$D$52:$D$56,"Yes")</x:f>
        <x:v>3</x:v>
      </x:c>
      <x:c r="G13" s="132" t="n">
        <x:f>F13/B13</x:f>
        <x:v>0.6</x:v>
      </x:c>
      <x:c r="H13" s="3" t="str">
        <x:v>Descriptive, not a causal estimate</x:v>
      </x:c>
      <x:c r="I13" s="3"/>
      <x:c r="J13" s="3"/>
      <x:c r="K13" s="3"/>
      <x:c r="L13" s="3"/>
      <x:c r="M13" s="3"/>
      <x:c r="N13" s="3"/>
      <x:c r="O13" s="3"/>
      <x:c r="P13" s="3"/>
      <x:c r="Q13" s="3"/>
      <x:c r="R13" s="3"/>
    </x:row>
    <x:row r="14" ht="34" customHeight="1">
      <x:c r="A14" s="3" t="str">
        <x:v>C02</x:v>
      </x:c>
      <x:c r="B14" s="3" t="n">
        <x:f>COUNT('EX FLOW Data'!$C$57:$C$66)</x:f>
        <x:v>10</x:v>
      </x:c>
      <x:c r="C14" s="3" t="n">
        <x:f>MEDIAN('EX FLOW Data'!$C$57:$C$66)</x:f>
        <x:v>16</x:v>
      </x:c>
      <x:c r="D14" s="3" t="n">
        <x:f>COUNTIF('EX FLOW Data'!$C$57:$C$66,"&lt;=24")</x:f>
        <x:v>8</x:v>
      </x:c>
      <x:c r="E14" s="132" t="n">
        <x:f>D14/B14</x:f>
        <x:v>0.8</x:v>
      </x:c>
      <x:c r="F14" s="3" t="n">
        <x:f>COUNTIF('EX FLOW Data'!$D$57:$D$66,"Yes")</x:f>
        <x:v>9</x:v>
      </x:c>
      <x:c r="G14" s="132" t="n">
        <x:f>F14/B14</x:f>
        <x:v>0.9</x:v>
      </x:c>
      <x:c r="H14" s="3" t="str">
        <x:v>Descriptive, not a causal estimate</x:v>
      </x:c>
      <x:c r="I14" s="3"/>
      <x:c r="J14" s="3"/>
      <x:c r="K14" s="3"/>
      <x:c r="L14" s="3"/>
      <x:c r="M14" s="3"/>
      <x:c r="N14" s="3"/>
      <x:c r="O14" s="3"/>
      <x:c r="P14" s="3"/>
      <x:c r="Q14" s="3"/>
      <x:c r="R14" s="3"/>
    </x:row>
    <x:row r="15" ht="34" customHeight="1">
      <x:c r="A15" s="3" t="str">
        <x:v>C03</x:v>
      </x:c>
      <x:c r="B15" s="3" t="n">
        <x:f>COUNT('EX FLOW Data'!$C$67:$C$86)</x:f>
        <x:v>20</x:v>
      </x:c>
      <x:c r="C15" s="3" t="n">
        <x:f>MEDIAN('EX FLOW Data'!$C$67:$C$86)</x:f>
        <x:v>12</x:v>
      </x:c>
      <x:c r="D15" s="3" t="n">
        <x:f>COUNTIF('EX FLOW Data'!$C$67:$C$86,"&lt;=24")</x:f>
        <x:v>17</x:v>
      </x:c>
      <x:c r="E15" s="132" t="n">
        <x:f>D15/B15</x:f>
        <x:v>0.85</x:v>
      </x:c>
      <x:c r="F15" s="3" t="n">
        <x:f>COUNTIF('EX FLOW Data'!$D$67:$D$86,"Yes")</x:f>
        <x:v>18</x:v>
      </x:c>
      <x:c r="G15" s="132" t="n">
        <x:f>F15/B15</x:f>
        <x:v>0.9</x:v>
      </x:c>
      <x:c r="H15" s="3" t="str">
        <x:v>Descriptive, not a causal estimate</x:v>
      </x:c>
      <x:c r="I15" s="3"/>
      <x:c r="J15" s="3"/>
      <x:c r="K15" s="3"/>
      <x:c r="L15" s="3"/>
      <x:c r="M15" s="3"/>
      <x:c r="N15" s="3"/>
      <x:c r="O15" s="3"/>
      <x:c r="P15" s="3"/>
      <x:c r="Q15" s="3"/>
      <x:c r="R15" s="3"/>
    </x:row>
    <x:row r="16" ht="20" customHeight="1">
      <x:c r="A16" s="3"/>
      <x:c r="B16" s="3"/>
      <x:c r="C16" s="3"/>
      <x:c r="D16" s="3"/>
      <x:c r="E16" s="3"/>
      <x:c r="F16" s="3"/>
      <x:c r="G16" s="3"/>
      <x:c r="H16" s="3"/>
      <x:c r="I16" s="3"/>
      <x:c r="J16" s="3"/>
      <x:c r="K16" s="3"/>
      <x:c r="L16" s="3"/>
      <x:c r="M16" s="3"/>
      <x:c r="N16" s="3"/>
      <x:c r="O16" s="3"/>
      <x:c r="P16" s="3"/>
      <x:c r="Q16" s="3"/>
      <x:c r="R16" s="3"/>
    </x:row>
    <x:row r="17" ht="20" customHeight="1">
      <x:c r="A17" s="3"/>
      <x:c r="B17" s="3"/>
      <x:c r="C17" s="3"/>
      <x:c r="D17" s="3"/>
      <x:c r="E17" s="3"/>
      <x:c r="F17" s="3"/>
      <x:c r="G17" s="3"/>
      <x:c r="H17" s="3"/>
      <x:c r="I17" s="3"/>
      <x:c r="J17" s="3"/>
      <x:c r="K17" s="3"/>
      <x:c r="L17" s="3"/>
      <x:c r="M17" s="3"/>
      <x:c r="N17" s="3"/>
      <x:c r="O17" s="3"/>
      <x:c r="P17" s="3"/>
      <x:c r="Q17" s="3"/>
      <x:c r="R17" s="3"/>
    </x:row>
    <x:row r="18" ht="20" customHeight="1">
      <x:c r="A18" s="3"/>
      <x:c r="B18" s="3"/>
      <x:c r="C18" s="3"/>
      <x:c r="D18" s="3"/>
      <x:c r="E18" s="3" t="str">
        <x:v>Derived result</x:v>
      </x:c>
      <x:c r="F18" s="3" t="str">
        <x:v>Value</x:v>
      </x:c>
      <x:c r="G18" s="3" t="str">
        <x:v>Interpretation boundary</x:v>
      </x:c>
      <x:c r="H18" s="3"/>
      <x:c r="I18" s="3"/>
      <x:c r="J18" s="3"/>
      <x:c r="K18" s="3"/>
      <x:c r="L18" s="3"/>
      <x:c r="M18" s="3"/>
      <x:c r="N18" s="3"/>
      <x:c r="O18" s="3"/>
      <x:c r="P18" s="3"/>
      <x:c r="Q18" s="3"/>
      <x:c r="R18" s="3"/>
    </x:row>
    <x:row r="19" ht="39" customHeight="1">
      <x:c r="A19" s="83" t="str">
        <x:v>Months in capacity scenario</x:v>
      </x:c>
      <x:c r="B19" s="83" t="n">
        <x:v>12</x:v>
      </x:c>
      <x:c r="C19" s="83" t="str">
        <x:v>Illustrative period; not an observed benefit</x:v>
      </x:c>
      <x:c r="D19" s="3"/>
      <x:c r="E19" s="83" t="str">
        <x:v>Median reduction baseline to C03</x:v>
      </x:c>
      <x:c r="F19" s="90" t="n">
        <x:f>(C12-C15)/C12</x:f>
        <x:v>0.75</x:v>
      </x:c>
      <x:c r="G19" s="83" t="str">
        <x:v>Descriptive only; units and cohorts fixed.</x:v>
      </x:c>
      <x:c r="H19" s="3"/>
      <x:c r="I19" s="3"/>
      <x:c r="J19" s="3"/>
      <x:c r="K19" s="3"/>
      <x:c r="L19" s="3"/>
      <x:c r="M19" s="3"/>
      <x:c r="N19" s="3"/>
      <x:c r="O19" s="3"/>
      <x:c r="P19" s="3"/>
      <x:c r="Q19" s="3"/>
      <x:c r="R19" s="3"/>
    </x:row>
    <x:row r="20" ht="39" customHeight="1">
      <x:c r="A20" s="83" t="str">
        <x:v>Touch minutes before</x:v>
      </x:c>
      <x:c r="B20" s="83" t="n">
        <x:v>24</x:v>
      </x:c>
      <x:c r="C20" s="83" t="str">
        <x:v>Assumption from worked case</x:v>
      </x:c>
      <x:c r="D20" s="3"/>
      <x:c r="E20" s="83" t="str">
        <x:v>Timely increase, percentage points</x:v>
      </x:c>
      <x:c r="F20" s="83" t="n">
        <x:f>(E15-E12)*100</x:f>
        <x:v>50</x:v>
      </x:c>
      <x:c r="G20" s="83" t="str">
        <x:v>Percentage points, not relative change.</x:v>
      </x:c>
      <x:c r="H20" s="3"/>
      <x:c r="I20" s="3"/>
      <x:c r="J20" s="3"/>
      <x:c r="K20" s="3"/>
      <x:c r="L20" s="3"/>
      <x:c r="M20" s="3"/>
      <x:c r="N20" s="3"/>
      <x:c r="O20" s="3"/>
      <x:c r="P20" s="3"/>
      <x:c r="Q20" s="3"/>
      <x:c r="R20" s="3"/>
    </x:row>
    <x:row r="21" ht="39" customHeight="1">
      <x:c r="A21" s="83" t="str">
        <x:v>Touch minutes after</x:v>
      </x:c>
      <x:c r="B21" s="83" t="n">
        <x:v>16</x:v>
      </x:c>
      <x:c r="C21" s="83" t="str">
        <x:v>Assumption from worked case</x:v>
      </x:c>
      <x:c r="D21" s="3"/>
      <x:c r="E21" s="83" t="str">
        <x:v>First-pass increase, percentage points</x:v>
      </x:c>
      <x:c r="F21" s="83" t="n">
        <x:f>(G15-G12)*100</x:f>
        <x:v>25</x:v>
      </x:c>
      <x:c r="G21" s="83" t="str">
        <x:v>Percentage points.</x:v>
      </x:c>
      <x:c r="H21" s="3"/>
      <x:c r="I21" s="3"/>
      <x:c r="J21" s="3"/>
      <x:c r="K21" s="3"/>
      <x:c r="L21" s="3"/>
      <x:c r="M21" s="3"/>
      <x:c r="N21" s="3"/>
      <x:c r="O21" s="3"/>
      <x:c r="P21" s="3"/>
      <x:c r="Q21" s="3"/>
      <x:c r="R21" s="3"/>
    </x:row>
    <x:row r="22" ht="39" customHeight="1">
      <x:c r="A22" s="83" t="str">
        <x:v>Requests per month</x:v>
      </x:c>
      <x:c r="B22" s="83" t="n">
        <x:v>80</x:v>
      </x:c>
      <x:c r="C22" s="83" t="str">
        <x:v>Fictional demand assumption</x:v>
      </x:c>
      <x:c r="D22" s="3"/>
      <x:c r="E22" s="83" t="str">
        <x:v>First-pass relative increase</x:v>
      </x:c>
      <x:c r="F22" s="90" t="n">
        <x:f>(G15-G12)/G12</x:f>
        <x:v>0.3846153846153846</x:v>
      </x:c>
      <x:c r="G22" s="83" t="str">
        <x:v>Only defined when baseline is nonzero.</x:v>
      </x:c>
      <x:c r="H22" s="3"/>
      <x:c r="I22" s="3"/>
      <x:c r="J22" s="3"/>
      <x:c r="K22" s="3"/>
      <x:c r="L22" s="3"/>
      <x:c r="M22" s="3"/>
      <x:c r="N22" s="3"/>
      <x:c r="O22" s="3"/>
      <x:c r="P22" s="3"/>
      <x:c r="Q22" s="3"/>
      <x:c r="R22" s="3"/>
    </x:row>
    <x:row r="23" ht="39" customHeight="1">
      <x:c r="A23" s="83" t="str">
        <x:v>Value per released staff hour</x:v>
      </x:c>
      <x:c r="B23" s="83" t="n">
        <x:v>150</x:v>
      </x:c>
      <x:c r="C23" s="83" t="str">
        <x:v>Illustrative SAR valuation, not cash saved</x:v>
      </x:c>
      <x:c r="D23" s="3"/>
      <x:c r="E23" s="83" t="str">
        <x:v>Minutes released per request</x:v>
      </x:c>
      <x:c r="F23" s="83" t="n">
        <x:f>B20-B21</x:f>
        <x:v>8</x:v>
      </x:c>
      <x:c r="G23" s="83" t="str">
        <x:v>Touch time, not elapsed time.</x:v>
      </x:c>
      <x:c r="H23" s="3"/>
      <x:c r="I23" s="3"/>
      <x:c r="J23" s="3"/>
      <x:c r="K23" s="3"/>
      <x:c r="L23" s="3"/>
      <x:c r="M23" s="3"/>
      <x:c r="N23" s="3"/>
      <x:c r="O23" s="3"/>
      <x:c r="P23" s="3"/>
      <x:c r="Q23" s="3"/>
      <x:c r="R23" s="3"/>
    </x:row>
    <x:row r="24" ht="39" customHeight="1">
      <x:c r="A24" s="83" t="str">
        <x:v>Minutes per hour</x:v>
      </x:c>
      <x:c r="B24" s="83" t="n">
        <x:v>60</x:v>
      </x:c>
      <x:c r="C24" s="83" t="str">
        <x:v>Unit conversion</x:v>
      </x:c>
      <x:c r="D24" s="3"/>
      <x:c r="E24" s="83" t="str">
        <x:v>Hours released in scenario</x:v>
      </x:c>
      <x:c r="F24" s="83" t="n">
        <x:f>(B20-B21)*B22*B19/B24</x:f>
        <x:v>128</x:v>
      </x:c>
      <x:c r="G24" s="83" t="str">
        <x:v>Released capacity, not jobs removed.</x:v>
      </x:c>
      <x:c r="H24" s="3"/>
      <x:c r="I24" s="3"/>
      <x:c r="J24" s="3"/>
      <x:c r="K24" s="3"/>
      <x:c r="L24" s="3"/>
      <x:c r="M24" s="3"/>
      <x:c r="N24" s="3"/>
      <x:c r="O24" s="3"/>
      <x:c r="P24" s="3"/>
      <x:c r="Q24" s="3"/>
      <x:c r="R24" s="3"/>
    </x:row>
    <x:row r="25" ht="39" customHeight="1">
      <x:c r="A25" s="83" t="str">
        <x:v>One-off cost</x:v>
      </x:c>
      <x:c r="B25" s="83" t="n">
        <x:v>12000</x:v>
      </x:c>
      <x:c r="C25" s="83" t="str">
        <x:v>Fictional implementation-cost assumption</x:v>
      </x:c>
      <x:c r="D25" s="3"/>
      <x:c r="E25" s="83" t="str">
        <x:v>Valued capacity</x:v>
      </x:c>
      <x:c r="F25" s="83" t="n">
        <x:f>F24*B23</x:f>
        <x:v>19200</x:v>
      </x:c>
      <x:c r="G25" s="83" t="str">
        <x:v>Do not describe as realised cash.</x:v>
      </x:c>
      <x:c r="H25" s="3"/>
      <x:c r="I25" s="3"/>
      <x:c r="J25" s="3"/>
      <x:c r="K25" s="3"/>
      <x:c r="L25" s="3"/>
      <x:c r="M25" s="3"/>
      <x:c r="N25" s="3"/>
      <x:c r="O25" s="3"/>
      <x:c r="P25" s="3"/>
      <x:c r="Q25" s="3"/>
      <x:c r="R25" s="3"/>
    </x:row>
    <x:row r="26" ht="39" customHeight="1">
      <x:c r="A26" s="83" t="str">
        <x:v>Annual running cost</x:v>
      </x:c>
      <x:c r="B26" s="83" t="n">
        <x:v>3000</x:v>
      </x:c>
      <x:c r="C26" s="83" t="str">
        <x:v>Fictional annual-cost assumption</x:v>
      </x:c>
      <x:c r="D26" s="3"/>
      <x:c r="E26" s="83" t="str">
        <x:v>Total illustrative cost</x:v>
      </x:c>
      <x:c r="F26" s="83" t="n">
        <x:f>B25+B26</x:f>
        <x:v>15000</x:v>
      </x:c>
      <x:c r="G26" s="83" t="str">
        <x:v>Same annual horizon; no double count.</x:v>
      </x:c>
      <x:c r="H26" s="3"/>
      <x:c r="I26" s="3"/>
      <x:c r="J26" s="3"/>
      <x:c r="K26" s="3"/>
      <x:c r="L26" s="3"/>
      <x:c r="M26" s="3"/>
      <x:c r="N26" s="3"/>
      <x:c r="O26" s="3"/>
      <x:c r="P26" s="3"/>
      <x:c r="Q26" s="3"/>
      <x:c r="R26" s="3"/>
    </x:row>
    <x:row r="27" ht="39" customHeight="1">
      <x:c r="A27" s="83" t="str">
        <x:v>Confirmed cash saving</x:v>
      </x:c>
      <x:c r="B27" s="83"/>
      <x:c r="C27" s="83" t="str">
        <x:v>Blank: cash benefit has not been established</x:v>
      </x:c>
      <x:c r="D27" s="3"/>
      <x:c r="E27" s="83" t="str">
        <x:v>Cash net benefit</x:v>
      </x:c>
      <x:c r="F27" s="83" t="str">
        <x:f>IF(B27="","Not established",B27-F26)</x:f>
        <x:v>Not established</x:v>
      </x:c>
      <x:c r="G27" s="83" t="str">
        <x:v>Cash remains unconfirmed.</x:v>
      </x:c>
      <x:c r="H27" s="3"/>
      <x:c r="I27" s="3"/>
      <x:c r="J27" s="3"/>
      <x:c r="K27" s="3"/>
      <x:c r="L27" s="3"/>
      <x:c r="M27" s="3"/>
      <x:c r="N27" s="3"/>
      <x:c r="O27" s="3"/>
      <x:c r="P27" s="3"/>
      <x:c r="Q27" s="3"/>
      <x:c r="R27" s="3"/>
    </x:row>
    <x:row r="28" ht="39" customHeight="1">
      <x:c r="A28" s="83" t="str">
        <x:v>Elapsed hours for timeline</x:v>
      </x:c>
      <x:c r="B28" s="83" t="n">
        <x:v>48</x:v>
      </x:c>
      <x:c r="C28" s="83" t="str">
        <x:v>Illustrative single-request timeline</x:v>
      </x:c>
      <x:c r="D28" s="3"/>
      <x:c r="E28" s="83" t="str">
        <x:v>Value-added / active touch</x:v>
      </x:c>
      <x:c r="F28" s="90" t="n">
        <x:f>B29/SUM(B29:B31)</x:f>
        <x:v>0.5</x:v>
      </x:c>
      <x:c r="G28" s="83" t="str">
        <x:v>Activity mix, not process-cycle efficiency.</x:v>
      </x:c>
      <x:c r="H28" s="3"/>
      <x:c r="I28" s="3"/>
      <x:c r="J28" s="3"/>
      <x:c r="K28" s="3"/>
      <x:c r="L28" s="3"/>
      <x:c r="M28" s="3"/>
      <x:c r="N28" s="3"/>
      <x:c r="O28" s="3"/>
      <x:c r="P28" s="3"/>
      <x:c r="Q28" s="3"/>
      <x:c r="R28" s="3"/>
    </x:row>
    <x:row r="29" ht="39" customHeight="1">
      <x:c r="A29" s="83" t="str">
        <x:v>Value-adding touch minutes</x:v>
      </x:c>
      <x:c r="B29" s="83" t="n">
        <x:v>12</x:v>
      </x:c>
      <x:c r="C29" s="83" t="str">
        <x:v>Activity-classification exercise</x:v>
      </x:c>
      <x:c r="D29" s="3"/>
      <x:c r="E29" s="83" t="str">
        <x:v>Value-added / elapsed time</x:v>
      </x:c>
      <x:c r="F29" s="90" t="n">
        <x:f>B29/(B28*B24)</x:f>
        <x:v>0.004166666666666667</x:v>
      </x:c>
      <x:c r="G29" s="83" t="str">
        <x:v>Both numerator and denominator in minutes.</x:v>
      </x:c>
      <x:c r="H29" s="3"/>
      <x:c r="I29" s="3"/>
      <x:c r="J29" s="3"/>
      <x:c r="K29" s="3"/>
      <x:c r="L29" s="3"/>
      <x:c r="M29" s="3"/>
      <x:c r="N29" s="3"/>
      <x:c r="O29" s="3"/>
      <x:c r="P29" s="3"/>
      <x:c r="Q29" s="3"/>
      <x:c r="R29" s="3"/>
    </x:row>
    <x:row r="30" ht="39" customHeight="1">
      <x:c r="A30" s="83" t="str">
        <x:v>Necessary enabling minutes</x:v>
      </x:c>
      <x:c r="B30" s="83" t="n">
        <x:v>8</x:v>
      </x:c>
      <x:c r="C30" s="83" t="str">
        <x:v>Retained control / enabling activity</x:v>
      </x:c>
      <x:c r="D30" s="3"/>
      <x:c r="E30" s="83" t="str">
        <x:v>Total touch / elapsed time</x:v>
      </x:c>
      <x:c r="F30" s="90" t="n">
        <x:f>SUM(B29:B31)/(B28*B24)</x:f>
        <x:v>0.008333333333333333</x:v>
      </x:c>
      <x:c r="G30" s="83" t="str">
        <x:v>Parallel work would need other treatment.</x:v>
      </x:c>
      <x:c r="H30" s="3"/>
      <x:c r="I30" s="3"/>
      <x:c r="J30" s="3"/>
      <x:c r="K30" s="3"/>
      <x:c r="L30" s="3"/>
      <x:c r="M30" s="3"/>
      <x:c r="N30" s="3"/>
      <x:c r="O30" s="3"/>
      <x:c r="P30" s="3"/>
      <x:c r="Q30" s="3"/>
      <x:c r="R30" s="3"/>
    </x:row>
    <x:row r="31" ht="39" customHeight="1">
      <x:c r="A31" s="83" t="str">
        <x:v>Avoidable active minutes</x:v>
      </x:c>
      <x:c r="B31" s="83" t="n">
        <x:v>4</x:v>
      </x:c>
      <x:c r="C31" s="83" t="str">
        <x:v>Observed avoidable category in exercise</x:v>
      </x:c>
      <x:c r="D31" s="3"/>
      <x:c r="E31" s="83" t="str">
        <x:v>Takt minutes / request</x:v>
      </x:c>
      <x:c r="F31" s="83" t="n">
        <x:f>B32/B33</x:f>
        <x:v>30</x:v>
      </x:c>
      <x:c r="G31" s="83" t="str">
        <x:v>Demand pace, not a performance target for an individual.</x:v>
      </x:c>
      <x:c r="H31" s="3"/>
      <x:c r="I31" s="3"/>
      <x:c r="J31" s="3"/>
      <x:c r="K31" s="3"/>
      <x:c r="L31" s="3"/>
      <x:c r="M31" s="3"/>
      <x:c r="N31" s="3"/>
      <x:c r="O31" s="3"/>
      <x:c r="P31" s="3"/>
      <x:c r="Q31" s="3"/>
      <x:c r="R31" s="3"/>
    </x:row>
    <x:row r="32" ht="39" customHeight="1">
      <x:c r="A32" s="83" t="str">
        <x:v>Net available minutes/day</x:v>
      </x:c>
      <x:c r="B32" s="83" t="n">
        <x:v>120</x:v>
      </x:c>
      <x:c r="C32" s="83" t="str">
        <x:v>Illustrative family-level capacity</x:v>
      </x:c>
      <x:c r="D32" s="3"/>
      <x:c r="E32" s="83" t="str">
        <x:v>Theoretical capacity / day, before</x:v>
      </x:c>
      <x:c r="F32" s="83" t="n">
        <x:f>B32/B20</x:f>
        <x:v>5</x:v>
      </x:c>
      <x:c r="G32" s="83" t="str">
        <x:v>Ignores variability, absence and batching.</x:v>
      </x:c>
      <x:c r="H32" s="3"/>
      <x:c r="I32" s="3"/>
      <x:c r="J32" s="3"/>
      <x:c r="K32" s="3"/>
      <x:c r="L32" s="3"/>
      <x:c r="M32" s="3"/>
      <x:c r="N32" s="3"/>
      <x:c r="O32" s="3"/>
      <x:c r="P32" s="3"/>
      <x:c r="Q32" s="3"/>
      <x:c r="R32" s="3"/>
    </x:row>
    <x:row r="33" ht="39" customHeight="1">
      <x:c r="A33" s="83" t="str">
        <x:v>Demand per day</x:v>
      </x:c>
      <x:c r="B33" s="83" t="n">
        <x:v>4</x:v>
      </x:c>
      <x:c r="C33" s="83" t="str">
        <x:v>80 requests / 20 working days</x:v>
      </x:c>
      <x:c r="D33" s="3"/>
      <x:c r="E33" s="83" t="str">
        <x:v>Theoretical capacity / day, after</x:v>
      </x:c>
      <x:c r="F33" s="83" t="n">
        <x:f>B32/B21</x:f>
        <x:v>7.5</x:v>
      </x:c>
      <x:c r="G33" s="83" t="str">
        <x:v>Not a guaranteed output commitment.</x:v>
      </x:c>
      <x:c r="H33" s="3"/>
      <x:c r="I33" s="3"/>
      <x:c r="J33" s="3"/>
      <x:c r="K33" s="3"/>
      <x:c r="L33" s="3"/>
      <x:c r="M33" s="3"/>
      <x:c r="N33" s="3"/>
      <x:c r="O33" s="3"/>
      <x:c r="P33" s="3"/>
      <x:c r="Q33" s="3"/>
      <x:c r="R33" s="3"/>
    </x:row>
    <x:row r="34" ht="39" customHeight="1">
      <x:c r="A34" s="83" t="str">
        <x:v>Illustrative WIP</x:v>
      </x:c>
      <x:c r="B34" s="83" t="n">
        <x:v>30</x:v>
      </x:c>
      <x:c r="C34" s="83" t="str">
        <x:v>Separate stable-system example</x:v>
      </x:c>
      <x:c r="D34" s="3"/>
      <x:c r="E34" s="83" t="str">
        <x:v>Little's Law implied mean days</x:v>
      </x:c>
      <x:c r="F34" s="83" t="n">
        <x:f>B34/B35</x:f>
        <x:v>3</x:v>
      </x:c>
      <x:c r="G34" s="83" t="str">
        <x:v>Same stable system boundary and average horizon.</x:v>
      </x:c>
      <x:c r="H34" s="3"/>
      <x:c r="I34" s="3"/>
      <x:c r="J34" s="3"/>
      <x:c r="K34" s="3"/>
      <x:c r="L34" s="3"/>
      <x:c r="M34" s="3"/>
      <x:c r="N34" s="3"/>
      <x:c r="O34" s="3"/>
      <x:c r="P34" s="3"/>
      <x:c r="Q34" s="3"/>
      <x:c r="R34" s="3"/>
    </x:row>
    <x:row r="35" ht="39" customHeight="1">
      <x:c r="A35" s="83" t="str">
        <x:v>Illustrative throughput/day</x:v>
      </x:c>
      <x:c r="B35" s="83" t="n">
        <x:v>10</x:v>
      </x:c>
      <x:c r="C35" s="83" t="str">
        <x:v>Same boundary/unit as WIP</x:v>
      </x:c>
      <x:c r="D35" s="3"/>
      <x:c r="E35" s="83" t="str">
        <x:v>Replenishment containers</x:v>
      </x:c>
      <x:c r="F35" s="83" t="n">
        <x:f>ROUNDUP(B36*B37*(1+B38)/B39,0)</x:f>
        <x:v>3</x:v>
      </x:c>
      <x:c r="G35" s="83" t="str">
        <x:v>Explicit policy buffer; round upward.</x:v>
      </x:c>
      <x:c r="H35" s="3"/>
      <x:c r="I35" s="3"/>
      <x:c r="J35" s="3"/>
      <x:c r="K35" s="3"/>
      <x:c r="L35" s="3"/>
      <x:c r="M35" s="3"/>
      <x:c r="N35" s="3"/>
      <x:c r="O35" s="3"/>
      <x:c r="P35" s="3"/>
      <x:c r="Q35" s="3"/>
      <x:c r="R35" s="3"/>
    </x:row>
    <x:row r="36" ht="39" customHeight="1">
      <x:c r="A36" s="83" t="str">
        <x:v>Replenishment demand/day</x:v>
      </x:c>
      <x:c r="B36" s="83" t="n">
        <x:v>10</x:v>
      </x:c>
      <x:c r="C36" s="83" t="str">
        <x:v>Separate container example</x:v>
      </x:c>
      <x:c r="D36" s="3"/>
      <x:c r="E36" s="83" t="str">
        <x:v>Replenishment stock units</x:v>
      </x:c>
      <x:c r="F36" s="83" t="n">
        <x:f>F35*B39</x:f>
        <x:v>30</x:v>
      </x:c>
      <x:c r="G36" s="83" t="str">
        <x:v>Container count x container quantity.</x:v>
      </x:c>
      <x:c r="H36" s="3"/>
      <x:c r="I36" s="3"/>
      <x:c r="J36" s="3"/>
      <x:c r="K36" s="3"/>
      <x:c r="L36" s="3"/>
      <x:c r="M36" s="3"/>
      <x:c r="N36" s="3"/>
      <x:c r="O36" s="3"/>
      <x:c r="P36" s="3"/>
      <x:c r="Q36" s="3"/>
      <x:c r="R36" s="3"/>
    </x:row>
    <x:row r="37" ht="39" customHeight="1">
      <x:c r="A37" s="83" t="str">
        <x:v>Replenishment lead days</x:v>
      </x:c>
      <x:c r="B37" s="83" t="n">
        <x:v>2</x:v>
      </x:c>
      <x:c r="C37" s="83" t="str">
        <x:v>Assumed protected replenishment lead time</x:v>
      </x:c>
      <x:c r="D37" s="3"/>
      <x:c r="E37" s="3"/>
      <x:c r="F37" s="3"/>
      <x:c r="G37" s="3"/>
      <x:c r="H37" s="3"/>
      <x:c r="I37" s="3"/>
      <x:c r="J37" s="3"/>
      <x:c r="K37" s="3"/>
      <x:c r="L37" s="3"/>
      <x:c r="M37" s="3"/>
      <x:c r="N37" s="3"/>
      <x:c r="O37" s="3"/>
      <x:c r="P37" s="3"/>
      <x:c r="Q37" s="3"/>
      <x:c r="R37" s="3"/>
    </x:row>
    <x:row r="38" ht="39" customHeight="1">
      <x:c r="A38" s="83" t="str">
        <x:v>Replenishment buffer</x:v>
      </x:c>
      <x:c r="B38" s="90" t="n">
        <x:v>0.2</x:v>
      </x:c>
      <x:c r="C38" s="83" t="str">
        <x:v>Explicit policy assumption</x:v>
      </x:c>
      <x:c r="D38" s="3"/>
      <x:c r="E38" s="3"/>
      <x:c r="F38" s="3"/>
      <x:c r="G38" s="3"/>
      <x:c r="H38" s="3"/>
      <x:c r="I38" s="3"/>
      <x:c r="J38" s="3"/>
      <x:c r="K38" s="3"/>
      <x:c r="L38" s="3"/>
      <x:c r="M38" s="3"/>
      <x:c r="N38" s="3"/>
      <x:c r="O38" s="3"/>
      <x:c r="P38" s="3"/>
      <x:c r="Q38" s="3"/>
      <x:c r="R38" s="3"/>
    </x:row>
    <x:row r="39" ht="39" customHeight="1">
      <x:c r="A39" s="83" t="str">
        <x:v>Container quantity</x:v>
      </x:c>
      <x:c r="B39" s="83" t="n">
        <x:v>10</x:v>
      </x:c>
      <x:c r="C39" s="83" t="str">
        <x:v>Whole-unit container</x:v>
      </x:c>
      <x:c r="D39" s="3"/>
      <x:c r="E39" s="3"/>
      <x:c r="F39" s="3"/>
      <x:c r="G39" s="3"/>
      <x:c r="H39" s="3"/>
      <x:c r="I39" s="3"/>
      <x:c r="J39" s="3"/>
      <x:c r="K39" s="3"/>
      <x:c r="L39" s="3"/>
      <x:c r="M39" s="3"/>
      <x:c r="N39" s="3"/>
      <x:c r="O39" s="3"/>
      <x:c r="P39" s="3"/>
      <x:c r="Q39" s="3"/>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39" customHeight="1">
      <x:c r="A42" s="34" t="str">
        <x:v>All case and planning figures are fictional teaching inputs. The live calculation sheets stay blank until their own inputs are supplied. Elapsed-time improvements do not equal paid staff-time reductions.</x:v>
      </x:c>
      <x:c r="B42" s="34"/>
      <x:c r="C42" s="34"/>
      <x:c r="D42" s="3"/>
      <x:c r="E42" s="83" t="str">
        <x:v>I-MR baseline mean</x:v>
      </x:c>
      <x:c r="F42" s="113" t="n">
        <x:f>AVERAGE('EX FLOW Data'!I16:I35)</x:f>
        <x:v>12.65</x:v>
      </x:c>
      <x:c r="G42" s="83" t="str">
        <x:v>First 20 individual values only.</x:v>
      </x:c>
      <x:c r="H42" s="3"/>
      <x:c r="I42" s="3"/>
      <x:c r="J42" s="3"/>
      <x:c r="K42" s="3"/>
      <x:c r="L42" s="3"/>
      <x:c r="M42" s="3"/>
      <x:c r="N42" s="3"/>
      <x:c r="O42" s="3"/>
      <x:c r="P42" s="3"/>
      <x:c r="Q42" s="3"/>
      <x:c r="R42" s="3"/>
    </x:row>
    <x:row r="43" ht="39" customHeight="1">
      <x:c r="A43" s="34"/>
      <x:c r="B43" s="34"/>
      <x:c r="C43" s="34"/>
      <x:c r="D43" s="3"/>
      <x:c r="E43" s="83" t="str">
        <x:v>I-MR mean moving range</x:v>
      </x:c>
      <x:c r="F43" s="113" t="n">
        <x:f>AVERAGE('EX FLOW Data'!J17:J35)</x:f>
        <x:v>1.368421052631579</x:v>
      </x:c>
      <x:c r="G43" s="83" t="str">
        <x:v>19 consecutive moving ranges.</x:v>
      </x:c>
      <x:c r="H43" s="3"/>
      <x:c r="I43" s="3"/>
      <x:c r="J43" s="3"/>
      <x:c r="K43" s="3"/>
      <x:c r="L43" s="3"/>
      <x:c r="M43" s="3"/>
      <x:c r="N43" s="3"/>
      <x:c r="O43" s="3"/>
      <x:c r="P43" s="3"/>
      <x:c r="Q43" s="3"/>
      <x:c r="R43" s="3"/>
    </x:row>
    <x:row r="44" ht="39" customHeight="1">
      <x:c r="A44" s="34"/>
      <x:c r="B44" s="34"/>
      <x:c r="C44" s="34"/>
      <x:c r="D44" s="3"/>
      <x:c r="E44" s="83" t="str">
        <x:v>I-MR estimated sigma</x:v>
      </x:c>
      <x:c r="F44" s="113" t="n">
        <x:f>F43/'01 Setup'!B13</x:f>
        <x:v>1.2131392310563645</x:v>
      </x:c>
      <x:c r="G44" s="83" t="str">
        <x:v>MRbar / d2(2).</x:v>
      </x:c>
      <x:c r="H44" s="3"/>
      <x:c r="I44" s="3"/>
      <x:c r="J44" s="3"/>
      <x:c r="K44" s="3"/>
      <x:c r="L44" s="3"/>
      <x:c r="M44" s="3"/>
      <x:c r="N44" s="3"/>
      <x:c r="O44" s="3"/>
      <x:c r="P44" s="3"/>
      <x:c r="Q44" s="3"/>
      <x:c r="R44" s="3"/>
    </x:row>
    <x:row r="45" ht="39" customHeight="1">
      <x:c r="A45" s="34"/>
      <x:c r="B45" s="34"/>
      <x:c r="C45" s="34"/>
      <x:c r="D45" s="3"/>
      <x:c r="E45" s="83" t="str">
        <x:v>Individuals lower limit</x:v>
      </x:c>
      <x:c r="F45" s="113" t="n">
        <x:f>F42-'01 Setup'!B15*F44</x:f>
        <x:v>9.010582306830907</x:v>
      </x:c>
      <x:c r="G45" s="83" t="str">
        <x:v>Not a target or specification limit.</x:v>
      </x:c>
      <x:c r="H45" s="3"/>
      <x:c r="I45" s="3"/>
      <x:c r="J45" s="3"/>
      <x:c r="K45" s="3"/>
      <x:c r="L45" s="3"/>
      <x:c r="M45" s="3"/>
      <x:c r="N45" s="3"/>
      <x:c r="O45" s="3"/>
      <x:c r="P45" s="3"/>
      <x:c r="Q45" s="3"/>
      <x:c r="R45" s="3"/>
    </x:row>
    <x:row r="46" ht="39" customHeight="1">
      <x:c r="A46" s="3"/>
      <x:c r="B46" s="3"/>
      <x:c r="C46" s="3"/>
      <x:c r="D46" s="3"/>
      <x:c r="E46" s="83" t="str">
        <x:v>Individuals upper limit</x:v>
      </x:c>
      <x:c r="F46" s="113" t="n">
        <x:f>F42+'01 Setup'!B15*F44</x:f>
        <x:v>16.289417693169092</x:v>
      </x:c>
      <x:c r="G46" s="83" t="str">
        <x:v>Point 21 (18) is beyond this limit.</x:v>
      </x:c>
      <x:c r="H46" s="3"/>
      <x:c r="I46" s="3"/>
      <x:c r="J46" s="3"/>
      <x:c r="K46" s="3"/>
      <x:c r="L46" s="3"/>
      <x:c r="M46" s="3"/>
      <x:c r="N46" s="3"/>
      <x:c r="O46" s="3"/>
      <x:c r="P46" s="3"/>
      <x:c r="Q46" s="3"/>
      <x:c r="R46" s="3"/>
    </x:row>
    <x:row r="47" ht="39" customHeight="1">
      <x:c r="A47" s="3"/>
      <x:c r="B47" s="3"/>
      <x:c r="C47" s="3"/>
      <x:c r="D47" s="3"/>
      <x:c r="E47" s="83" t="str">
        <x:v>Moving-range upper limit</x:v>
      </x:c>
      <x:c r="F47" s="113" t="n">
        <x:f>F43*'01 Setup'!B14</x:f>
        <x:v>4.470631578947368</x:v>
      </x:c>
      <x:c r="G47" s="83" t="str">
        <x:v>Moving-range lower limit is zero.</x:v>
      </x:c>
      <x:c r="H47" s="3"/>
      <x:c r="I47" s="3"/>
      <x:c r="J47" s="3"/>
      <x:c r="K47" s="3"/>
      <x:c r="L47" s="3"/>
      <x:c r="M47" s="3"/>
      <x:c r="N47" s="3"/>
      <x:c r="O47" s="3"/>
      <x:c r="P47" s="3"/>
      <x:c r="Q47" s="3"/>
      <x:c r="R47" s="3"/>
    </x:row>
    <x:row r="48" ht="39" customHeight="1">
      <x:c r="A48" s="3"/>
      <x:c r="B48" s="3"/>
      <x:c r="C48" s="3"/>
      <x:c r="D48" s="3"/>
      <x:c r="E48" s="83" t="str">
        <x:v>p-chart baseline proportion</x:v>
      </x:c>
      <x:c r="F48" s="90" t="n">
        <x:f>SUM('EX FLOW Data'!N16:N35)/SUM('EX FLOW Data'!M16:M35)</x:f>
        <x:v>0.2</x:v>
      </x:c>
      <x:c r="G48" s="83" t="str">
        <x:v>Weighted pooled defects / units.</x:v>
      </x:c>
      <x:c r="H48" s="3"/>
      <x:c r="I48" s="3"/>
      <x:c r="J48" s="3"/>
      <x:c r="K48" s="3"/>
      <x:c r="L48" s="3"/>
      <x:c r="M48" s="3"/>
      <x:c r="N48" s="3"/>
      <x:c r="O48" s="3"/>
      <x:c r="P48" s="3"/>
      <x:c r="Q48" s="3"/>
      <x:c r="R48" s="3"/>
    </x:row>
    <x:row r="49" ht="39" customHeight="1">
      <x:c r="A49" s="3"/>
      <x:c r="B49" s="3"/>
      <x:c r="C49" s="3"/>
      <x:c r="D49" s="3"/>
      <x:c r="E49" s="83" t="str">
        <x:v>p-chart lower limit, n=50</x:v>
      </x:c>
      <x:c r="F49" s="90" t="n">
        <x:f>MAX(0,F48-'01 Setup'!B15*SQRT(F48*(1-F48)/'EX FLOW Data'!M16))</x:f>
        <x:v>0.030294372515228596</x:v>
      </x:c>
      <x:c r="G49" s="83" t="str">
        <x:v>Illustrative n=50 subgroup.</x:v>
      </x:c>
      <x:c r="H49" s="3"/>
      <x:c r="I49" s="3"/>
      <x:c r="J49" s="3"/>
      <x:c r="K49" s="3"/>
      <x:c r="L49" s="3"/>
      <x:c r="M49" s="3"/>
      <x:c r="N49" s="3"/>
      <x:c r="O49" s="3"/>
      <x:c r="P49" s="3"/>
      <x:c r="Q49" s="3"/>
      <x:c r="R49" s="3"/>
    </x:row>
    <x:row r="50" ht="39" customHeight="1">
      <x:c r="A50" s="3"/>
      <x:c r="B50" s="3"/>
      <x:c r="C50" s="3"/>
      <x:c r="D50" s="3"/>
      <x:c r="E50" s="83" t="str">
        <x:v>p-chart upper limit, n=50</x:v>
      </x:c>
      <x:c r="F50" s="90" t="n">
        <x:f>MIN(1,F48+'01 Setup'!B15*SQRT(F48*(1-F48)/'EX FLOW Data'!M16))</x:f>
        <x:v>0.3697056274847714</x:v>
      </x:c>
      <x:c r="G50" s="83" t="str">
        <x:v>Subgroup 21 has p=0.4, above the limit.</x:v>
      </x:c>
      <x:c r="H50" s="3"/>
      <x:c r="I50" s="3"/>
      <x:c r="J50" s="3"/>
      <x:c r="K50" s="3"/>
      <x:c r="L50" s="3"/>
      <x:c r="M50" s="3"/>
      <x:c r="N50" s="3"/>
      <x:c r="O50" s="3"/>
      <x:c r="P50" s="3"/>
      <x:c r="Q50" s="3"/>
      <x:c r="R50" s="3"/>
    </x:row>
    <x:row r="51" ht="39" customHeight="1">
      <x:c r="A51" s="3"/>
      <x:c r="B51" s="3"/>
      <x:c r="C51" s="3"/>
      <x:c r="D51" s="3"/>
      <x:c r="E51" s="83" t="str">
        <x:v>I-MR monitoring point flag</x:v>
      </x:c>
      <x:c r="F51" s="83" t="str">
        <x:f>IF('EX FLOW Data'!I36&gt;F46,"Beyond upper limit","Within limits")</x:f>
        <x:v>Beyond upper limit</x:v>
      </x:c>
      <x:c r="G51" s="83" t="str">
        <x:v>Limited point rule.</x:v>
      </x:c>
      <x:c r="H51" s="3"/>
      <x:c r="I51" s="3"/>
      <x:c r="J51" s="3"/>
      <x:c r="K51" s="3"/>
      <x:c r="L51" s="3"/>
      <x:c r="M51" s="3"/>
      <x:c r="N51" s="3"/>
      <x:c r="O51" s="3"/>
      <x:c r="P51" s="3"/>
      <x:c r="Q51" s="3"/>
      <x:c r="R51" s="3"/>
    </x:row>
    <x:row r="52" ht="39" customHeight="1">
      <x:c r="A52" s="3"/>
      <x:c r="B52" s="3"/>
      <x:c r="C52" s="3"/>
      <x:c r="D52" s="3"/>
      <x:c r="E52" s="83" t="str">
        <x:v>p-chart monitoring subgroup flag</x:v>
      </x:c>
      <x:c r="F52" s="83" t="str">
        <x:f>IF('EX FLOW Data'!O36&gt;F50,"Beyond upper limit","Within limits")</x:f>
        <x:v>Beyond upper limit</x:v>
      </x:c>
      <x:c r="G52" s="83" t="str">
        <x:v>Limited point rule.</x:v>
      </x:c>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8:L9"/>
    <x:mergeCell ref="A42:C45"/>
  </x:mergeCells>
  <x:pageMargins left="0.7" right="0.7" top="0.75" bottom="0.75" header="0.3" footer="0.3"/>
  <x:drawing xmlns:r="http://schemas.openxmlformats.org/officeDocument/2006/relationships" r:id="R264217431b504dbd"/>
</x:worksheet>
</file>

<file path=xl/worksheets/sheet89.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16" hidden="0" customWidth="1"/>
    <x:col min="2" max="2" width="31" hidden="0" customWidth="1"/>
    <x:col min="3" max="3" width="37" hidden="0" customWidth="1"/>
    <x:col min="4" max="4" width="37" hidden="0" customWidth="1"/>
    <x:col min="5" max="5" width="45" hidden="0" customWidth="1"/>
    <x:col min="6" max="6" width="44" hidden="0" customWidth="1"/>
    <x:col min="7" max="7" width="45"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s>
  <x:sheetData>
    <x:row r="1" ht="26" customHeight="1">
      <x:c r="A1" s="9" t="str">
        <x:v>HR DELIVERY | EX Cycle Story</x:v>
      </x:c>
      <x:c r="B1" s="9"/>
      <x:c r="C1" s="9"/>
      <x:c r="D1" s="9"/>
      <x:c r="E1" s="9"/>
      <x:c r="F1" s="9"/>
      <x:c r="G1" s="9"/>
      <x:c r="H1" s="9"/>
      <x:c r="I1" s="9"/>
      <x:c r="J1" s="9"/>
      <x:c r="K1" s="9"/>
      <x:c r="L1" s="9"/>
      <x:c r="M1" s="3"/>
      <x:c r="N1" s="3"/>
      <x:c r="O1" s="3"/>
      <x:c r="P1" s="3"/>
      <x:c r="Q1" s="3"/>
      <x:c r="R1" s="3"/>
    </x:row>
    <x:row r="2" ht="26" customHeight="1">
      <x:c r="A2" s="9"/>
      <x:c r="B2" s="9"/>
      <x:c r="C2" s="9"/>
      <x:c r="D2" s="9"/>
      <x:c r="E2" s="9"/>
      <x:c r="F2" s="9"/>
      <x:c r="G2" s="9"/>
      <x:c r="H2" s="9"/>
      <x:c r="I2" s="9"/>
      <x:c r="J2" s="9"/>
      <x:c r="K2" s="9"/>
      <x:c r="L2" s="9"/>
      <x:c r="M2" s="3"/>
      <x:c r="N2" s="3"/>
      <x:c r="O2" s="3"/>
      <x:c r="P2" s="3"/>
      <x:c r="Q2" s="3"/>
      <x:c r="R2" s="3"/>
    </x:row>
    <x:row r="3" ht="36" customHeight="1">
      <x:c r="A3" s="17" t="str">
        <x:v>Process Improvement Framework &amp; Toolkit - companion working records</x:v>
      </x:c>
      <x:c r="B3" s="17"/>
      <x:c r="C3" s="17"/>
      <x:c r="D3" s="17"/>
      <x:c r="E3" s="17"/>
      <x:c r="F3" s="17"/>
      <x:c r="G3" s="17"/>
      <x:c r="H3" s="17"/>
      <x:c r="I3" s="17"/>
      <x:c r="J3" s="17"/>
      <x:c r="K3" s="17"/>
      <x:c r="L3" s="17"/>
      <x:c r="M3" s="3"/>
      <x:c r="N3" s="3"/>
      <x:c r="O3" s="3"/>
      <x:c r="P3" s="3"/>
      <x:c r="Q3" s="3"/>
      <x:c r="R3" s="3"/>
    </x:row>
    <x:row r="4" ht="24" customHeight="1">
      <x:c r="A4" s="23" t="str">
        <x:f>IFERROR(HYPERLINK("#'00 Start'!A1","START"),"START")</x:f>
        <x:v>START</x:v>
      </x:c>
      <x:c r="B4" s="23"/>
      <x:c r="C4" s="23"/>
      <x:c r="D4" s="23" t="str">
        <x:f>IFERROR(HYPERLINK("#'02 Tool Index'!A1","TOOL INDEX"),"TOOL INDEX")</x:f>
        <x:v>TOOL INDEX</x:v>
      </x:c>
      <x:c r="E4" s="23"/>
      <x:c r="F4" s="23"/>
      <x:c r="G4" s="23" t="str">
        <x:f>IFERROR(HYPERLINK("#'03 Dashboard'!A1","DASHBOARD"),"DASHBOARD")</x:f>
        <x:v>DASHBOARD</x:v>
      </x:c>
      <x:c r="H4" s="23"/>
      <x:c r="I4" s="23"/>
      <x:c r="J4" s="23" t="str">
        <x:f>IFERROR(HYPERLINK("#'05 Sources'!A1","SOURCES"),"SOURCES")</x:f>
        <x:v>SOURCES</x:v>
      </x:c>
      <x:c r="K4" s="23"/>
      <x:c r="L4" s="23"/>
      <x:c r="M4" s="3"/>
      <x:c r="N4" s="3"/>
      <x:c r="O4" s="3"/>
      <x:c r="P4" s="3"/>
      <x:c r="Q4" s="3"/>
      <x:c r="R4" s="3"/>
    </x:row>
    <x:row r="5" ht="22" customHeight="1">
      <x:c r="A5" s="28" t="str">
        <x:v>HR DELIVERY  |  PROCESS IMPROVEMENT  |  PDSA + LEAN</x:v>
      </x:c>
      <x:c r="B5" s="28"/>
      <x:c r="C5" s="28"/>
      <x:c r="D5" s="28"/>
      <x:c r="E5" s="28"/>
      <x:c r="F5" s="28"/>
      <x:c r="G5" s="28"/>
      <x:c r="H5" s="28"/>
      <x:c r="I5" s="28"/>
      <x:c r="J5" s="28"/>
      <x:c r="K5" s="28"/>
      <x:c r="L5" s="28"/>
      <x:c r="M5" s="3"/>
      <x:c r="N5" s="3"/>
      <x:c r="O5" s="3"/>
      <x:c r="P5" s="3"/>
      <x:c r="Q5" s="3"/>
      <x:c r="R5" s="3"/>
    </x:row>
    <x:row r="6" ht="20" customHeight="1">
      <x:c r="A6" s="17" t="str">
        <x:v>LIVE RECORD: enter your own evidence. Pale aqua cells are inputs; grey cells contain formulas. Fictional EX sheets do not feed live calculations.</x:v>
      </x:c>
      <x:c r="B6" s="17"/>
      <x:c r="C6" s="17"/>
      <x:c r="D6" s="17"/>
      <x:c r="E6" s="17"/>
      <x:c r="F6" s="17"/>
      <x:c r="G6" s="17"/>
      <x:c r="H6" s="17"/>
      <x:c r="I6" s="17"/>
      <x:c r="J6" s="17"/>
      <x:c r="K6" s="17"/>
      <x:c r="L6" s="17"/>
      <x:c r="M6" s="3"/>
      <x:c r="N6" s="3"/>
      <x:c r="O6" s="3"/>
      <x:c r="P6" s="3"/>
      <x:c r="Q6" s="3"/>
      <x:c r="R6" s="3"/>
    </x:row>
    <x:row r="7" ht="20" customHeight="1">
      <x:c r="A7" s="17"/>
      <x:c r="B7" s="17"/>
      <x:c r="C7" s="17"/>
      <x:c r="D7" s="17"/>
      <x:c r="E7" s="17"/>
      <x:c r="F7" s="17"/>
      <x:c r="G7" s="17"/>
      <x:c r="H7" s="17"/>
      <x:c r="I7" s="17"/>
      <x:c r="J7" s="17"/>
      <x:c r="K7" s="17"/>
      <x:c r="L7" s="17"/>
      <x:c r="M7" s="3"/>
      <x:c r="N7" s="3"/>
      <x:c r="O7" s="3"/>
      <x:c r="P7" s="3"/>
      <x:c r="Q7" s="3"/>
      <x:c r="R7" s="3"/>
    </x:row>
    <x:row r="8" ht="20" customHeight="1">
      <x:c r="A8" s="3"/>
      <x:c r="B8" s="3"/>
      <x:c r="C8" s="3"/>
      <x:c r="D8" s="3"/>
      <x:c r="E8" s="3"/>
      <x:c r="F8" s="3"/>
      <x:c r="G8" s="3"/>
      <x:c r="H8" s="3"/>
      <x:c r="I8" s="3"/>
      <x:c r="J8" s="3"/>
      <x:c r="K8" s="3"/>
      <x:c r="L8" s="3"/>
      <x:c r="M8" s="3"/>
      <x:c r="N8" s="3"/>
      <x:c r="O8" s="3"/>
      <x:c r="P8" s="3"/>
      <x:c r="Q8" s="3"/>
      <x:c r="R8" s="3"/>
    </x:row>
    <x:row r="9" ht="20" customHeight="1">
      <x:c r="A9" s="3"/>
      <x:c r="B9" s="3"/>
      <x:c r="C9" s="3"/>
      <x:c r="D9" s="3"/>
      <x:c r="E9" s="3"/>
      <x:c r="F9" s="3"/>
      <x:c r="G9" s="3"/>
      <x:c r="H9" s="3"/>
      <x:c r="I9" s="3"/>
      <x:c r="J9" s="3"/>
      <x:c r="K9" s="3"/>
      <x:c r="L9" s="3"/>
      <x:c r="M9" s="3"/>
      <x:c r="N9" s="3"/>
      <x:c r="O9" s="3"/>
      <x:c r="P9" s="3"/>
      <x:c r="Q9" s="3"/>
      <x:c r="R9" s="3"/>
    </x:row>
    <x:row r="10" ht="37" customHeight="1">
      <x:c r="A10" s="77" t="str">
        <x:v>Cycle</x:v>
      </x:c>
      <x:c r="B10" s="77" t="str">
        <x:v>Scale / conditions</x:v>
      </x:c>
      <x:c r="C10" s="77" t="str">
        <x:v>Prediction</x:v>
      </x:c>
      <x:c r="D10" s="77" t="str">
        <x:v>Actual evidence</x:v>
      </x:c>
      <x:c r="E10" s="77" t="str">
        <x:v>Learning</x:v>
      </x:c>
      <x:c r="F10" s="77" t="str">
        <x:v>Act decision</x:v>
      </x:c>
      <x:c r="G10" s="77" t="str">
        <x:v>Context / controls</x:v>
      </x:c>
      <x:c r="H10" s="3"/>
      <x:c r="I10" s="3"/>
      <x:c r="J10" s="3"/>
      <x:c r="K10" s="3"/>
      <x:c r="L10" s="3"/>
      <x:c r="M10" s="3"/>
      <x:c r="N10" s="3"/>
      <x:c r="O10" s="3"/>
      <x:c r="P10" s="3"/>
      <x:c r="Q10" s="3"/>
      <x:c r="R10" s="3"/>
    </x:row>
    <x:row r="11" ht="145" customHeight="1">
      <x:c r="A11" s="66" t="str">
        <x:v>C01</x:v>
      </x:c>
      <x:c r="B11" s="66" t="str">
        <x:v>Five routine requests, one coordinator</x:v>
      </x:c>
      <x:c r="C11" s="66" t="str">
        <x:v>At least 4/5 first-pass and 4/5 within 24 hours</x:v>
      </x:c>
      <x:c r="D11" s="66" t="str">
        <x:v>3/5 first-pass; 3/5 timely; median 20h</x:v>
      </x:c>
      <x:c r="E11" s="66" t="str">
        <x:v>Prediction missed. Two requesters interpreted the instruction differently.</x:v>
      </x:c>
      <x:c r="F11" s="66" t="str">
        <x:v>Adapt wording and test the clarification; do not scale.</x:v>
      </x:c>
      <x:c r="G11" s="66" t="str">
        <x:v>Initial form + instruction; standard approval and secure delivery retained.</x:v>
      </x:c>
      <x:c r="H11" s="3"/>
      <x:c r="I11" s="3"/>
      <x:c r="J11" s="3"/>
      <x:c r="K11" s="3"/>
      <x:c r="L11" s="3"/>
      <x:c r="M11" s="3"/>
      <x:c r="N11" s="3"/>
      <x:c r="O11" s="3"/>
      <x:c r="P11" s="3"/>
      <x:c r="Q11" s="3"/>
      <x:c r="R11" s="3"/>
    </x:row>
    <x:row r="12" ht="145" customHeight="1">
      <x:c r="A12" s="66" t="str">
        <x:v>C02</x:v>
      </x:c>
      <x:c r="B12" s="66" t="str">
        <x:v>Ten routine requests, two coordinators</x:v>
      </x:c>
      <x:c r="C12" s="66" t="str">
        <x:v>At least 8/10 first-pass and 8/10 timely</x:v>
      </x:c>
      <x:c r="D12" s="66" t="str">
        <x:v>9/10 first-pass; 8/10 timely; median 16h</x:v>
      </x:c>
      <x:c r="E12" s="66" t="str">
        <x:v>Wording appears usable here; remaining delay includes queue visibility.</x:v>
      </x:c>
      <x:c r="F12" s="66" t="str">
        <x:v>Test a visible queue and ownership rule under controlled conditions.</x:v>
      </x:c>
      <x:c r="G12" s="66" t="str">
        <x:v>Revised intake only; context/sample still limited.</x:v>
      </x:c>
      <x:c r="H12" s="3"/>
      <x:c r="I12" s="3"/>
      <x:c r="J12" s="3"/>
      <x:c r="K12" s="3"/>
      <x:c r="L12" s="3"/>
      <x:c r="M12" s="3"/>
      <x:c r="N12" s="3"/>
      <x:c r="O12" s="3"/>
      <x:c r="P12" s="3"/>
      <x:c r="Q12" s="3"/>
      <x:c r="R12" s="3"/>
    </x:row>
    <x:row r="13" ht="145" customHeight="1">
      <x:c r="A13" s="66" t="str">
        <x:v>C03</x:v>
      </x:c>
      <x:c r="B13" s="66" t="str">
        <x:v>Twenty routine requests across two sites</x:v>
      </x:c>
      <x:c r="C13" s="66" t="str">
        <x:v>At least 18/20 first-pass and 17/20 timely</x:v>
      </x:c>
      <x:c r="D13" s="66" t="str">
        <x:v>18/20 first-pass; 17/20 timely; median 12h</x:v>
      </x:c>
      <x:c r="E13" s="66" t="str">
        <x:v>The bundle is promising; component effects cannot be isolated.</x:v>
      </x:c>
      <x:c r="F13" s="66" t="str">
        <x:v>Supported expansion needs cover/peak tests and balancing evidence.</x:v>
      </x:c>
      <x:c r="G13" s="66" t="str">
        <x:v>Revised intake + visible queue + ownership; all safeguards retained.</x:v>
      </x:c>
      <x:c r="H13" s="3"/>
      <x:c r="I13" s="3"/>
      <x:c r="J13" s="3"/>
      <x:c r="K13" s="3"/>
      <x:c r="L13" s="3"/>
      <x:c r="M13" s="3"/>
      <x:c r="N13" s="3"/>
      <x:c r="O13" s="3"/>
      <x:c r="P13" s="3"/>
      <x:c r="Q13" s="3"/>
      <x:c r="R13" s="3"/>
    </x:row>
    <x:row r="14" ht="145" customHeight="1">
      <x:c r="A14" s="66" t="str">
        <x:v>C04 - PROPOSED</x:v>
      </x:c>
      <x:c r="B14" s="66" t="str">
        <x:v>Cover arrangements and peak demand</x:v>
      </x:c>
      <x:c r="C14" s="66" t="str">
        <x:v>Prediction to be specified before the test</x:v>
      </x:c>
      <x:c r="D14" s="66" t="str">
        <x:v>No result - test not run</x:v>
      </x:c>
      <x:c r="E14" s="66" t="str">
        <x:v>Evidence gap: performance under less favourable conditions.</x:v>
      </x:c>
      <x:c r="F14" s="66" t="str">
        <x:v>Prepare the next test. Do not describe this as implementation evidence.</x:v>
      </x:c>
      <x:c r="G14" s="66" t="str">
        <x:v>No fabricated results or completion claim.</x:v>
      </x:c>
      <x:c r="H14" s="3"/>
      <x:c r="I14" s="3"/>
      <x:c r="J14" s="3"/>
      <x:c r="K14" s="3"/>
      <x:c r="L14" s="3"/>
      <x:c r="M14" s="3"/>
      <x:c r="N14" s="3"/>
      <x:c r="O14" s="3"/>
      <x:c r="P14" s="3"/>
      <x:c r="Q14" s="3"/>
      <x:c r="R14" s="3"/>
    </x:row>
    <x:row r="15" ht="20" customHeight="1">
      <x:c r="A15" s="3"/>
      <x:c r="B15" s="3"/>
      <x:c r="C15" s="3"/>
      <x:c r="D15" s="3"/>
      <x:c r="E15" s="3"/>
      <x:c r="F15" s="3"/>
      <x:c r="G15" s="3"/>
      <x:c r="H15" s="3"/>
      <x:c r="I15" s="3"/>
      <x:c r="J15" s="3"/>
      <x:c r="K15" s="3"/>
      <x:c r="L15" s="3"/>
      <x:c r="M15" s="3"/>
      <x:c r="N15" s="3"/>
      <x:c r="O15" s="3"/>
      <x:c r="P15" s="3"/>
      <x:c r="Q15" s="3"/>
      <x:c r="R15" s="3"/>
    </x:row>
    <x:row r="16" ht="20" customHeight="1">
      <x:c r="A16" s="3"/>
      <x:c r="B16" s="3"/>
      <x:c r="C16" s="3"/>
      <x:c r="D16" s="3"/>
      <x:c r="E16" s="3"/>
      <x:c r="F16" s="3"/>
      <x:c r="G16" s="3"/>
      <x:c r="H16" s="3"/>
      <x:c r="I16" s="3"/>
      <x:c r="J16" s="3"/>
      <x:c r="K16" s="3"/>
      <x:c r="L16" s="3"/>
      <x:c r="M16" s="3"/>
      <x:c r="N16" s="3"/>
      <x:c r="O16" s="3"/>
      <x:c r="P16" s="3"/>
      <x:c r="Q16" s="3"/>
      <x:c r="R16" s="3"/>
    </x:row>
    <x:row r="17" ht="20" customHeight="1">
      <x:c r="A17" s="72" t="str">
        <x:v>The case is openly fictional. PDSA is repeated learning rather than four one-off project gates. Preserve the original prediction, record deviations and examine alternative explanations. The complete cycle record is D01; P14 tracks relationships between cycles.</x:v>
      </x:c>
      <x:c r="B17" s="72"/>
      <x:c r="C17" s="72"/>
      <x:c r="D17" s="72"/>
      <x:c r="E17" s="72"/>
      <x:c r="F17" s="72"/>
      <x:c r="G17" s="72"/>
      <x:c r="H17" s="3"/>
      <x:c r="I17" s="3"/>
      <x:c r="J17" s="3"/>
      <x:c r="K17" s="3"/>
      <x:c r="L17" s="3"/>
      <x:c r="M17" s="3"/>
      <x:c r="N17" s="3"/>
      <x:c r="O17" s="3"/>
      <x:c r="P17" s="3"/>
      <x:c r="Q17" s="3"/>
      <x:c r="R17" s="3"/>
    </x:row>
    <x:row r="18" ht="20" customHeight="1">
      <x:c r="A18" s="72"/>
      <x:c r="B18" s="72"/>
      <x:c r="C18" s="72"/>
      <x:c r="D18" s="72"/>
      <x:c r="E18" s="72"/>
      <x:c r="F18" s="72"/>
      <x:c r="G18" s="72"/>
      <x:c r="H18" s="3"/>
      <x:c r="I18" s="3"/>
      <x:c r="J18" s="3"/>
      <x:c r="K18" s="3"/>
      <x:c r="L18" s="3"/>
      <x:c r="M18" s="3"/>
      <x:c r="N18" s="3"/>
      <x:c r="O18" s="3"/>
      <x:c r="P18" s="3"/>
      <x:c r="Q18" s="3"/>
      <x:c r="R18" s="3"/>
    </x:row>
    <x:row r="19" ht="20" customHeight="1">
      <x:c r="A19" s="72"/>
      <x:c r="B19" s="72"/>
      <x:c r="C19" s="72"/>
      <x:c r="D19" s="72"/>
      <x:c r="E19" s="72"/>
      <x:c r="F19" s="72"/>
      <x:c r="G19" s="72"/>
      <x:c r="H19" s="3"/>
      <x:c r="I19" s="3"/>
      <x:c r="J19" s="3"/>
      <x:c r="K19" s="3"/>
      <x:c r="L19" s="3"/>
      <x:c r="M19" s="3"/>
      <x:c r="N19" s="3"/>
      <x:c r="O19" s="3"/>
      <x:c r="P19" s="3"/>
      <x:c r="Q19" s="3"/>
      <x:c r="R19" s="3"/>
    </x:row>
    <x:row r="20" ht="20" customHeight="1">
      <x:c r="A20" s="72"/>
      <x:c r="B20" s="72"/>
      <x:c r="C20" s="72"/>
      <x:c r="D20" s="72"/>
      <x:c r="E20" s="72"/>
      <x:c r="F20" s="72"/>
      <x:c r="G20" s="72"/>
      <x:c r="H20" s="3"/>
      <x:c r="I20" s="3"/>
      <x:c r="J20" s="3"/>
      <x:c r="K20" s="3"/>
      <x:c r="L20" s="3"/>
      <x:c r="M20" s="3"/>
      <x:c r="N20" s="3"/>
      <x:c r="O20" s="3"/>
      <x:c r="P20" s="3"/>
      <x:c r="Q20" s="3"/>
      <x:c r="R20" s="3"/>
    </x:row>
    <x:row r="21" ht="20" customHeight="1">
      <x:c r="A21" s="3"/>
      <x:c r="B21" s="3"/>
      <x:c r="C21" s="3"/>
      <x:c r="D21" s="3"/>
      <x:c r="E21" s="3"/>
      <x:c r="F21" s="3"/>
      <x:c r="G21" s="3"/>
      <x:c r="H21" s="3"/>
      <x:c r="I21" s="3"/>
      <x:c r="J21" s="3"/>
      <x:c r="K21" s="3"/>
      <x:c r="L21" s="3"/>
      <x:c r="M21" s="3"/>
      <x:c r="N21" s="3"/>
      <x:c r="O21" s="3"/>
      <x:c r="P21" s="3"/>
      <x:c r="Q21" s="3"/>
      <x:c r="R21" s="3"/>
    </x:row>
    <x:row r="22" ht="20" customHeight="1">
      <x:c r="A22" s="3"/>
      <x:c r="B22" s="3"/>
      <x:c r="C22" s="3"/>
      <x:c r="D22" s="3"/>
      <x:c r="E22" s="3"/>
      <x:c r="F22" s="3"/>
      <x:c r="G22" s="3"/>
      <x:c r="H22" s="3"/>
      <x:c r="I22" s="3"/>
      <x:c r="J22" s="3"/>
      <x:c r="K22" s="3"/>
      <x:c r="L22" s="3"/>
      <x:c r="M22" s="3"/>
      <x:c r="N22" s="3"/>
      <x:c r="O22" s="3"/>
      <x:c r="P22" s="3"/>
      <x:c r="Q22" s="3"/>
      <x:c r="R22" s="3"/>
    </x:row>
    <x:row r="23" ht="20" customHeight="1">
      <x:c r="A23" s="3"/>
      <x:c r="B23" s="3"/>
      <x:c r="C23" s="3"/>
      <x:c r="D23" s="3"/>
      <x:c r="E23" s="3"/>
      <x:c r="F23" s="3"/>
      <x:c r="G23" s="3"/>
      <x:c r="H23" s="3"/>
      <x:c r="I23" s="3"/>
      <x:c r="J23" s="3"/>
      <x:c r="K23" s="3"/>
      <x:c r="L23" s="3"/>
      <x:c r="M23" s="3"/>
      <x:c r="N23" s="3"/>
      <x:c r="O23" s="3"/>
      <x:c r="P23" s="3"/>
      <x:c r="Q23" s="3"/>
      <x:c r="R23" s="3"/>
    </x:row>
    <x:row r="24" ht="20" customHeight="1">
      <x:c r="A24" s="3"/>
      <x:c r="B24" s="3"/>
      <x:c r="C24" s="3"/>
      <x:c r="D24" s="3"/>
      <x:c r="E24" s="3"/>
      <x:c r="F24" s="3"/>
      <x:c r="G24" s="3"/>
      <x:c r="H24" s="3"/>
      <x:c r="I24" s="3"/>
      <x:c r="J24" s="3"/>
      <x:c r="K24" s="3"/>
      <x:c r="L24" s="3"/>
      <x:c r="M24" s="3"/>
      <x:c r="N24" s="3"/>
      <x:c r="O24" s="3"/>
      <x:c r="P24" s="3"/>
      <x:c r="Q24" s="3"/>
      <x:c r="R24" s="3"/>
    </x:row>
    <x:row r="25" ht="20" customHeight="1">
      <x:c r="A25" s="3"/>
      <x:c r="B25" s="3"/>
      <x:c r="C25" s="3"/>
      <x:c r="D25" s="3"/>
      <x:c r="E25" s="3"/>
      <x:c r="F25" s="3"/>
      <x:c r="G25" s="3"/>
      <x:c r="H25" s="3"/>
      <x:c r="I25" s="3"/>
      <x:c r="J25" s="3"/>
      <x:c r="K25" s="3"/>
      <x:c r="L25" s="3"/>
      <x:c r="M25" s="3"/>
      <x:c r="N25" s="3"/>
      <x:c r="O25" s="3"/>
      <x:c r="P25" s="3"/>
      <x:c r="Q25" s="3"/>
      <x:c r="R25" s="3"/>
    </x:row>
    <x:row r="26" ht="20" customHeight="1">
      <x:c r="A26" s="3"/>
      <x:c r="B26" s="3"/>
      <x:c r="C26" s="3"/>
      <x:c r="D26" s="3"/>
      <x:c r="E26" s="3"/>
      <x:c r="F26" s="3"/>
      <x:c r="G26" s="3"/>
      <x:c r="H26" s="3"/>
      <x:c r="I26" s="3"/>
      <x:c r="J26" s="3"/>
      <x:c r="K26" s="3"/>
      <x:c r="L26" s="3"/>
      <x:c r="M26" s="3"/>
      <x:c r="N26" s="3"/>
      <x:c r="O26" s="3"/>
      <x:c r="P26" s="3"/>
      <x:c r="Q26" s="3"/>
      <x:c r="R26" s="3"/>
    </x:row>
    <x:row r="27" ht="20" customHeight="1">
      <x:c r="A27" s="3"/>
      <x:c r="B27" s="3"/>
      <x:c r="C27" s="3"/>
      <x:c r="D27" s="3"/>
      <x:c r="E27" s="3"/>
      <x:c r="F27" s="3"/>
      <x:c r="G27" s="3"/>
      <x:c r="H27" s="3"/>
      <x:c r="I27" s="3"/>
      <x:c r="J27" s="3"/>
      <x:c r="K27" s="3"/>
      <x:c r="L27" s="3"/>
      <x:c r="M27" s="3"/>
      <x:c r="N27" s="3"/>
      <x:c r="O27" s="3"/>
      <x:c r="P27" s="3"/>
      <x:c r="Q27" s="3"/>
      <x:c r="R27" s="3"/>
    </x:row>
    <x:row r="28" ht="20" customHeight="1">
      <x:c r="A28" s="3"/>
      <x:c r="B28" s="3"/>
      <x:c r="C28" s="3"/>
      <x:c r="D28" s="3"/>
      <x:c r="E28" s="3"/>
      <x:c r="F28" s="3"/>
      <x:c r="G28" s="3"/>
      <x:c r="H28" s="3"/>
      <x:c r="I28" s="3"/>
      <x:c r="J28" s="3"/>
      <x:c r="K28" s="3"/>
      <x:c r="L28" s="3"/>
      <x:c r="M28" s="3"/>
      <x:c r="N28" s="3"/>
      <x:c r="O28" s="3"/>
      <x:c r="P28" s="3"/>
      <x:c r="Q28" s="3"/>
      <x:c r="R28" s="3"/>
    </x:row>
    <x:row r="29" ht="20" customHeight="1">
      <x:c r="A29" s="3"/>
      <x:c r="B29" s="3"/>
      <x:c r="C29" s="3"/>
      <x:c r="D29" s="3"/>
      <x:c r="E29" s="3"/>
      <x:c r="F29" s="3"/>
      <x:c r="G29" s="3"/>
      <x:c r="H29" s="3"/>
      <x:c r="I29" s="3"/>
      <x:c r="J29" s="3"/>
      <x:c r="K29" s="3"/>
      <x:c r="L29" s="3"/>
      <x:c r="M29" s="3"/>
      <x:c r="N29" s="3"/>
      <x:c r="O29" s="3"/>
      <x:c r="P29" s="3"/>
      <x:c r="Q29" s="3"/>
      <x:c r="R29" s="3"/>
    </x:row>
    <x:row r="30" ht="20" customHeight="1">
      <x:c r="A30" s="3"/>
      <x:c r="B30" s="3"/>
      <x:c r="C30" s="3"/>
      <x:c r="D30" s="3"/>
      <x:c r="E30" s="3"/>
      <x:c r="F30" s="3"/>
      <x:c r="G30" s="3"/>
      <x:c r="H30" s="3"/>
      <x:c r="I30" s="3"/>
      <x:c r="J30" s="3"/>
      <x:c r="K30" s="3"/>
      <x:c r="L30" s="3"/>
      <x:c r="M30" s="3"/>
      <x:c r="N30" s="3"/>
      <x:c r="O30" s="3"/>
      <x:c r="P30" s="3"/>
      <x:c r="Q30" s="3"/>
      <x:c r="R30" s="3"/>
    </x:row>
    <x:row r="31" ht="20" customHeight="1">
      <x:c r="A31" s="3"/>
      <x:c r="B31" s="3"/>
      <x:c r="C31" s="3"/>
      <x:c r="D31" s="3"/>
      <x:c r="E31" s="3"/>
      <x:c r="F31" s="3"/>
      <x:c r="G31" s="3"/>
      <x:c r="H31" s="3"/>
      <x:c r="I31" s="3"/>
      <x:c r="J31" s="3"/>
      <x:c r="K31" s="3"/>
      <x:c r="L31" s="3"/>
      <x:c r="M31" s="3"/>
      <x:c r="N31" s="3"/>
      <x:c r="O31" s="3"/>
      <x:c r="P31" s="3"/>
      <x:c r="Q31" s="3"/>
      <x:c r="R31" s="3"/>
    </x:row>
    <x:row r="32" ht="20" customHeight="1">
      <x:c r="A32" s="3"/>
      <x:c r="B32" s="3"/>
      <x:c r="C32" s="3"/>
      <x:c r="D32" s="3"/>
      <x:c r="E32" s="3"/>
      <x:c r="F32" s="3"/>
      <x:c r="G32" s="3"/>
      <x:c r="H32" s="3"/>
      <x:c r="I32" s="3"/>
      <x:c r="J32" s="3"/>
      <x:c r="K32" s="3"/>
      <x:c r="L32" s="3"/>
      <x:c r="M32" s="3"/>
      <x:c r="N32" s="3"/>
      <x:c r="O32" s="3"/>
      <x:c r="P32" s="3"/>
      <x:c r="Q32" s="3"/>
      <x:c r="R32" s="3"/>
    </x:row>
    <x:row r="33" ht="20" customHeight="1">
      <x:c r="A33" s="3"/>
      <x:c r="B33" s="3"/>
      <x:c r="C33" s="3"/>
      <x:c r="D33" s="3"/>
      <x:c r="E33" s="3"/>
      <x:c r="F33" s="3"/>
      <x:c r="G33" s="3"/>
      <x:c r="H33" s="3"/>
      <x:c r="I33" s="3"/>
      <x:c r="J33" s="3"/>
      <x:c r="K33" s="3"/>
      <x:c r="L33" s="3"/>
      <x:c r="M33" s="3"/>
      <x:c r="N33" s="3"/>
      <x:c r="O33" s="3"/>
      <x:c r="P33" s="3"/>
      <x:c r="Q33" s="3"/>
      <x:c r="R33" s="3"/>
    </x:row>
    <x:row r="34" ht="20" customHeight="1">
      <x:c r="A34" s="3"/>
      <x:c r="B34" s="3"/>
      <x:c r="C34" s="3"/>
      <x:c r="D34" s="3"/>
      <x:c r="E34" s="3"/>
      <x:c r="F34" s="3"/>
      <x:c r="G34" s="3"/>
      <x:c r="H34" s="3"/>
      <x:c r="I34" s="3"/>
      <x:c r="J34" s="3"/>
      <x:c r="K34" s="3"/>
      <x:c r="L34" s="3"/>
      <x:c r="M34" s="3"/>
      <x:c r="N34" s="3"/>
      <x:c r="O34" s="3"/>
      <x:c r="P34" s="3"/>
      <x:c r="Q34" s="3"/>
      <x:c r="R34" s="3"/>
    </x:row>
    <x:row r="35" ht="20" customHeight="1">
      <x:c r="A35" s="3"/>
      <x:c r="B35" s="3"/>
      <x:c r="C35" s="3"/>
      <x:c r="D35" s="3"/>
      <x:c r="E35" s="3"/>
      <x:c r="F35" s="3"/>
      <x:c r="G35" s="3"/>
      <x:c r="H35" s="3"/>
      <x:c r="I35" s="3"/>
      <x:c r="J35" s="3"/>
      <x:c r="K35" s="3"/>
      <x:c r="L35" s="3"/>
      <x:c r="M35" s="3"/>
      <x:c r="N35" s="3"/>
      <x:c r="O35" s="3"/>
      <x:c r="P35" s="3"/>
      <x:c r="Q35" s="3"/>
      <x:c r="R35" s="3"/>
    </x:row>
    <x:row r="36" ht="20" customHeight="1">
      <x:c r="A36" s="3"/>
      <x:c r="B36" s="3"/>
      <x:c r="C36" s="3"/>
      <x:c r="D36" s="3"/>
      <x:c r="E36" s="3"/>
      <x:c r="F36" s="3"/>
      <x:c r="G36" s="3"/>
      <x:c r="H36" s="3"/>
      <x:c r="I36" s="3"/>
      <x:c r="J36" s="3"/>
      <x:c r="K36" s="3"/>
      <x:c r="L36" s="3"/>
      <x:c r="M36" s="3"/>
      <x:c r="N36" s="3"/>
      <x:c r="O36" s="3"/>
      <x:c r="P36" s="3"/>
      <x:c r="Q36" s="3"/>
      <x:c r="R36" s="3"/>
    </x:row>
    <x:row r="37" ht="20" customHeight="1">
      <x:c r="A37" s="3"/>
      <x:c r="B37" s="3"/>
      <x:c r="C37" s="3"/>
      <x:c r="D37" s="3"/>
      <x:c r="E37" s="3"/>
      <x:c r="F37" s="3"/>
      <x:c r="G37" s="3"/>
      <x:c r="H37" s="3"/>
      <x:c r="I37" s="3"/>
      <x:c r="J37" s="3"/>
      <x:c r="K37" s="3"/>
      <x:c r="L37" s="3"/>
      <x:c r="M37" s="3"/>
      <x:c r="N37" s="3"/>
      <x:c r="O37" s="3"/>
      <x:c r="P37" s="3"/>
      <x:c r="Q37" s="3"/>
      <x:c r="R37" s="3"/>
    </x:row>
    <x:row r="38" ht="20" customHeight="1">
      <x:c r="A38" s="3"/>
      <x:c r="B38" s="3"/>
      <x:c r="C38" s="3"/>
      <x:c r="D38" s="3"/>
      <x:c r="E38" s="3"/>
      <x:c r="F38" s="3"/>
      <x:c r="G38" s="3"/>
      <x:c r="H38" s="3"/>
      <x:c r="I38" s="3"/>
      <x:c r="J38" s="3"/>
      <x:c r="K38" s="3"/>
      <x:c r="L38" s="3"/>
      <x:c r="M38" s="3"/>
      <x:c r="N38" s="3"/>
      <x:c r="O38" s="3"/>
      <x:c r="P38" s="3"/>
      <x:c r="Q38" s="3"/>
      <x:c r="R38" s="3"/>
    </x:row>
    <x:row r="39" ht="20" customHeight="1">
      <x:c r="A39" s="3"/>
      <x:c r="B39" s="3"/>
      <x:c r="C39" s="3"/>
      <x:c r="D39" s="3"/>
      <x:c r="E39" s="3"/>
      <x:c r="F39" s="3"/>
      <x:c r="G39" s="3"/>
      <x:c r="H39" s="3"/>
      <x:c r="I39" s="3"/>
      <x:c r="J39" s="3"/>
      <x:c r="K39" s="3"/>
      <x:c r="L39" s="3"/>
      <x:c r="M39" s="3"/>
      <x:c r="N39" s="3"/>
      <x:c r="O39" s="3"/>
      <x:c r="P39" s="3"/>
      <x:c r="Q39" s="3"/>
      <x:c r="R39" s="3"/>
    </x:row>
    <x:row r="40" ht="20" customHeight="1">
      <x:c r="A40" s="3"/>
      <x:c r="B40" s="3"/>
      <x:c r="C40" s="3"/>
      <x:c r="D40" s="3"/>
      <x:c r="E40" s="3"/>
      <x:c r="F40" s="3"/>
      <x:c r="G40" s="3"/>
      <x:c r="H40" s="3"/>
      <x:c r="I40" s="3"/>
      <x:c r="J40" s="3"/>
      <x:c r="K40" s="3"/>
      <x:c r="L40" s="3"/>
      <x:c r="M40" s="3"/>
      <x:c r="N40" s="3"/>
      <x:c r="O40" s="3"/>
      <x:c r="P40" s="3"/>
      <x:c r="Q40" s="3"/>
      <x:c r="R40" s="3"/>
    </x:row>
    <x:row r="41" ht="20" customHeight="1">
      <x:c r="A41" s="3"/>
      <x:c r="B41" s="3"/>
      <x:c r="C41" s="3"/>
      <x:c r="D41" s="3"/>
      <x:c r="E41" s="3"/>
      <x:c r="F41" s="3"/>
      <x:c r="G41" s="3"/>
      <x:c r="H41" s="3"/>
      <x:c r="I41" s="3"/>
      <x:c r="J41" s="3"/>
      <x:c r="K41" s="3"/>
      <x:c r="L41" s="3"/>
      <x:c r="M41" s="3"/>
      <x:c r="N41" s="3"/>
      <x:c r="O41" s="3"/>
      <x:c r="P41" s="3"/>
      <x:c r="Q41" s="3"/>
      <x:c r="R41" s="3"/>
    </x:row>
    <x:row r="42" ht="20" customHeight="1">
      <x:c r="A42" s="3"/>
      <x:c r="B42" s="3"/>
      <x:c r="C42" s="3"/>
      <x:c r="D42" s="3"/>
      <x:c r="E42" s="3"/>
      <x:c r="F42" s="3"/>
      <x:c r="G42" s="3"/>
      <x:c r="H42" s="3"/>
      <x:c r="I42" s="3"/>
      <x:c r="J42" s="3"/>
      <x:c r="K42" s="3"/>
      <x:c r="L42" s="3"/>
      <x:c r="M42" s="3"/>
      <x:c r="N42" s="3"/>
      <x:c r="O42" s="3"/>
      <x:c r="P42" s="3"/>
      <x:c r="Q42" s="3"/>
      <x:c r="R42" s="3"/>
    </x:row>
    <x:row r="43" ht="20" customHeight="1">
      <x:c r="A43" s="3"/>
      <x:c r="B43" s="3"/>
      <x:c r="C43" s="3"/>
      <x:c r="D43" s="3"/>
      <x:c r="E43" s="3"/>
      <x:c r="F43" s="3"/>
      <x:c r="G43" s="3"/>
      <x:c r="H43" s="3"/>
      <x:c r="I43" s="3"/>
      <x:c r="J43" s="3"/>
      <x:c r="K43" s="3"/>
      <x:c r="L43" s="3"/>
      <x:c r="M43" s="3"/>
      <x:c r="N43" s="3"/>
      <x:c r="O43" s="3"/>
      <x:c r="P43" s="3"/>
      <x:c r="Q43" s="3"/>
      <x:c r="R43" s="3"/>
    </x:row>
    <x:row r="44" ht="20" customHeight="1">
      <x:c r="A44" s="3"/>
      <x:c r="B44" s="3"/>
      <x:c r="C44" s="3"/>
      <x:c r="D44" s="3"/>
      <x:c r="E44" s="3"/>
      <x:c r="F44" s="3"/>
      <x:c r="G44" s="3"/>
      <x:c r="H44" s="3"/>
      <x:c r="I44" s="3"/>
      <x:c r="J44" s="3"/>
      <x:c r="K44" s="3"/>
      <x:c r="L44" s="3"/>
      <x:c r="M44" s="3"/>
      <x:c r="N44" s="3"/>
      <x:c r="O44" s="3"/>
      <x:c r="P44" s="3"/>
      <x:c r="Q44" s="3"/>
      <x:c r="R44" s="3"/>
    </x:row>
    <x:row r="45" ht="20" customHeight="1">
      <x:c r="A45" s="3"/>
      <x:c r="B45" s="3"/>
      <x:c r="C45" s="3"/>
      <x:c r="D45" s="3"/>
      <x:c r="E45" s="3"/>
      <x:c r="F45" s="3"/>
      <x:c r="G45" s="3"/>
      <x:c r="H45" s="3"/>
      <x:c r="I45" s="3"/>
      <x:c r="J45" s="3"/>
      <x:c r="K45" s="3"/>
      <x:c r="L45" s="3"/>
      <x:c r="M45" s="3"/>
      <x:c r="N45" s="3"/>
      <x:c r="O45" s="3"/>
      <x:c r="P45" s="3"/>
      <x:c r="Q45" s="3"/>
      <x:c r="R45" s="3"/>
    </x:row>
    <x:row r="46" ht="20" customHeight="1">
      <x:c r="A46" s="3"/>
      <x:c r="B46" s="3"/>
      <x:c r="C46" s="3"/>
      <x:c r="D46" s="3"/>
      <x:c r="E46" s="3"/>
      <x:c r="F46" s="3"/>
      <x:c r="G46" s="3"/>
      <x:c r="H46" s="3"/>
      <x:c r="I46" s="3"/>
      <x:c r="J46" s="3"/>
      <x:c r="K46" s="3"/>
      <x:c r="L46" s="3"/>
      <x:c r="M46" s="3"/>
      <x:c r="N46" s="3"/>
      <x:c r="O46" s="3"/>
      <x:c r="P46" s="3"/>
      <x:c r="Q46" s="3"/>
      <x:c r="R46" s="3"/>
    </x:row>
    <x:row r="47" ht="20" customHeight="1">
      <x:c r="A47" s="3"/>
      <x:c r="B47" s="3"/>
      <x:c r="C47" s="3"/>
      <x:c r="D47" s="3"/>
      <x:c r="E47" s="3"/>
      <x:c r="F47" s="3"/>
      <x:c r="G47" s="3"/>
      <x:c r="H47" s="3"/>
      <x:c r="I47" s="3"/>
      <x:c r="J47" s="3"/>
      <x:c r="K47" s="3"/>
      <x:c r="L47" s="3"/>
      <x:c r="M47" s="3"/>
      <x:c r="N47" s="3"/>
      <x:c r="O47" s="3"/>
      <x:c r="P47" s="3"/>
      <x:c r="Q47" s="3"/>
      <x:c r="R47" s="3"/>
    </x:row>
    <x:row r="48" ht="20" customHeight="1">
      <x:c r="A48" s="3"/>
      <x:c r="B48" s="3"/>
      <x:c r="C48" s="3"/>
      <x:c r="D48" s="3"/>
      <x:c r="E48" s="3"/>
      <x:c r="F48" s="3"/>
      <x:c r="G48" s="3"/>
      <x:c r="H48" s="3"/>
      <x:c r="I48" s="3"/>
      <x:c r="J48" s="3"/>
      <x:c r="K48" s="3"/>
      <x:c r="L48" s="3"/>
      <x:c r="M48" s="3"/>
      <x:c r="N48" s="3"/>
      <x:c r="O48" s="3"/>
      <x:c r="P48" s="3"/>
      <x:c r="Q48" s="3"/>
      <x:c r="R48" s="3"/>
    </x:row>
    <x:row r="49" ht="20" customHeight="1">
      <x:c r="A49" s="3"/>
      <x:c r="B49" s="3"/>
      <x:c r="C49" s="3"/>
      <x:c r="D49" s="3"/>
      <x:c r="E49" s="3"/>
      <x:c r="F49" s="3"/>
      <x:c r="G49" s="3"/>
      <x:c r="H49" s="3"/>
      <x:c r="I49" s="3"/>
      <x:c r="J49" s="3"/>
      <x:c r="K49" s="3"/>
      <x:c r="L49" s="3"/>
      <x:c r="M49" s="3"/>
      <x:c r="N49" s="3"/>
      <x:c r="O49" s="3"/>
      <x:c r="P49" s="3"/>
      <x:c r="Q49" s="3"/>
      <x:c r="R49" s="3"/>
    </x:row>
    <x:row r="50" ht="20" customHeight="1">
      <x:c r="A50" s="3"/>
      <x:c r="B50" s="3"/>
      <x:c r="C50" s="3"/>
      <x:c r="D50" s="3"/>
      <x:c r="E50" s="3"/>
      <x:c r="F50" s="3"/>
      <x:c r="G50" s="3"/>
      <x:c r="H50" s="3"/>
      <x:c r="I50" s="3"/>
      <x:c r="J50" s="3"/>
      <x:c r="K50" s="3"/>
      <x:c r="L50" s="3"/>
      <x:c r="M50" s="3"/>
      <x:c r="N50" s="3"/>
      <x:c r="O50" s="3"/>
      <x:c r="P50" s="3"/>
      <x:c r="Q50" s="3"/>
      <x:c r="R50" s="3"/>
    </x:row>
    <x:row r="51" ht="20" customHeight="1">
      <x:c r="A51" s="3"/>
      <x:c r="B51" s="3"/>
      <x:c r="C51" s="3"/>
      <x:c r="D51" s="3"/>
      <x:c r="E51" s="3"/>
      <x:c r="F51" s="3"/>
      <x:c r="G51" s="3"/>
      <x:c r="H51" s="3"/>
      <x:c r="I51" s="3"/>
      <x:c r="J51" s="3"/>
      <x:c r="K51" s="3"/>
      <x:c r="L51" s="3"/>
      <x:c r="M51" s="3"/>
      <x:c r="N51" s="3"/>
      <x:c r="O51" s="3"/>
      <x:c r="P51" s="3"/>
      <x:c r="Q51" s="3"/>
      <x:c r="R51" s="3"/>
    </x:row>
    <x:row r="52" ht="20" customHeight="1">
      <x:c r="A52" s="3"/>
      <x:c r="B52" s="3"/>
      <x:c r="C52" s="3"/>
      <x:c r="D52" s="3"/>
      <x:c r="E52" s="3"/>
      <x:c r="F52" s="3"/>
      <x:c r="G52" s="3"/>
      <x:c r="H52" s="3"/>
      <x:c r="I52" s="3"/>
      <x:c r="J52" s="3"/>
      <x:c r="K52" s="3"/>
      <x:c r="L52" s="3"/>
      <x:c r="M52" s="3"/>
      <x:c r="N52" s="3"/>
      <x:c r="O52" s="3"/>
      <x:c r="P52" s="3"/>
      <x:c r="Q52" s="3"/>
      <x:c r="R52" s="3"/>
    </x:row>
    <x:row r="53" ht="20" customHeight="1">
      <x:c r="A53" s="3"/>
      <x:c r="B53" s="3"/>
      <x:c r="C53" s="3"/>
      <x:c r="D53" s="3"/>
      <x:c r="E53" s="3"/>
      <x:c r="F53" s="3"/>
      <x:c r="G53" s="3"/>
      <x:c r="H53" s="3"/>
      <x:c r="I53" s="3"/>
      <x:c r="J53" s="3"/>
      <x:c r="K53" s="3"/>
      <x:c r="L53" s="3"/>
      <x:c r="M53" s="3"/>
      <x:c r="N53" s="3"/>
      <x:c r="O53" s="3"/>
      <x:c r="P53" s="3"/>
      <x:c r="Q53" s="3"/>
      <x:c r="R53" s="3"/>
    </x:row>
    <x:row r="54" ht="20" customHeight="1">
      <x:c r="A54" s="3"/>
      <x:c r="B54" s="3"/>
      <x:c r="C54" s="3"/>
      <x:c r="D54" s="3"/>
      <x:c r="E54" s="3"/>
      <x:c r="F54" s="3"/>
      <x:c r="G54" s="3"/>
      <x:c r="H54" s="3"/>
      <x:c r="I54" s="3"/>
      <x:c r="J54" s="3"/>
      <x:c r="K54" s="3"/>
      <x:c r="L54" s="3"/>
      <x:c r="M54" s="3"/>
      <x:c r="N54" s="3"/>
      <x:c r="O54" s="3"/>
      <x:c r="P54" s="3"/>
      <x:c r="Q54" s="3"/>
      <x:c r="R54" s="3"/>
    </x:row>
    <x:row r="55" ht="20" customHeight="1">
      <x:c r="A55" s="3"/>
      <x:c r="B55" s="3"/>
      <x:c r="C55" s="3"/>
      <x:c r="D55" s="3"/>
      <x:c r="E55" s="3"/>
      <x:c r="F55" s="3"/>
      <x:c r="G55" s="3"/>
      <x:c r="H55" s="3"/>
      <x:c r="I55" s="3"/>
      <x:c r="J55" s="3"/>
      <x:c r="K55" s="3"/>
      <x:c r="L55" s="3"/>
      <x:c r="M55" s="3"/>
      <x:c r="N55" s="3"/>
      <x:c r="O55" s="3"/>
      <x:c r="P55" s="3"/>
      <x:c r="Q55" s="3"/>
      <x:c r="R55" s="3"/>
    </x:row>
    <x:row r="56" ht="20" customHeight="1">
      <x:c r="A56" s="3"/>
      <x:c r="B56" s="3"/>
      <x:c r="C56" s="3"/>
      <x:c r="D56" s="3"/>
      <x:c r="E56" s="3"/>
      <x:c r="F56" s="3"/>
      <x:c r="G56" s="3"/>
      <x:c r="H56" s="3"/>
      <x:c r="I56" s="3"/>
      <x:c r="J56" s="3"/>
      <x:c r="K56" s="3"/>
      <x:c r="L56" s="3"/>
      <x:c r="M56" s="3"/>
      <x:c r="N56" s="3"/>
      <x:c r="O56" s="3"/>
      <x:c r="P56" s="3"/>
      <x:c r="Q56" s="3"/>
      <x:c r="R56" s="3"/>
    </x:row>
    <x:row r="57" ht="20" customHeight="1">
      <x:c r="A57" s="3"/>
      <x:c r="B57" s="3"/>
      <x:c r="C57" s="3"/>
      <x:c r="D57" s="3"/>
      <x:c r="E57" s="3"/>
      <x:c r="F57" s="3"/>
      <x:c r="G57" s="3"/>
      <x:c r="H57" s="3"/>
      <x:c r="I57" s="3"/>
      <x:c r="J57" s="3"/>
      <x:c r="K57" s="3"/>
      <x:c r="L57" s="3"/>
      <x:c r="M57" s="3"/>
      <x:c r="N57" s="3"/>
      <x:c r="O57" s="3"/>
      <x:c r="P57" s="3"/>
      <x:c r="Q57" s="3"/>
      <x:c r="R57" s="3"/>
    </x:row>
    <x:row r="58" ht="20" customHeight="1">
      <x:c r="A58" s="3"/>
      <x:c r="B58" s="3"/>
      <x:c r="C58" s="3"/>
      <x:c r="D58" s="3"/>
      <x:c r="E58" s="3"/>
      <x:c r="F58" s="3"/>
      <x:c r="G58" s="3"/>
      <x:c r="H58" s="3"/>
      <x:c r="I58" s="3"/>
      <x:c r="J58" s="3"/>
      <x:c r="K58" s="3"/>
      <x:c r="L58" s="3"/>
      <x:c r="M58" s="3"/>
      <x:c r="N58" s="3"/>
      <x:c r="O58" s="3"/>
      <x:c r="P58" s="3"/>
      <x:c r="Q58" s="3"/>
      <x:c r="R58" s="3"/>
    </x:row>
    <x:row r="59" ht="20" customHeight="1">
      <x:c r="A59" s="3"/>
      <x:c r="B59" s="3"/>
      <x:c r="C59" s="3"/>
      <x:c r="D59" s="3"/>
      <x:c r="E59" s="3"/>
      <x:c r="F59" s="3"/>
      <x:c r="G59" s="3"/>
      <x:c r="H59" s="3"/>
      <x:c r="I59" s="3"/>
      <x:c r="J59" s="3"/>
      <x:c r="K59" s="3"/>
      <x:c r="L59" s="3"/>
      <x:c r="M59" s="3"/>
      <x:c r="N59" s="3"/>
      <x:c r="O59" s="3"/>
      <x:c r="P59" s="3"/>
      <x:c r="Q59" s="3"/>
      <x:c r="R59" s="3"/>
    </x:row>
    <x:row r="60" ht="20" customHeight="1">
      <x:c r="A60" s="3"/>
      <x:c r="B60" s="3"/>
      <x:c r="C60" s="3"/>
      <x:c r="D60" s="3"/>
      <x:c r="E60" s="3"/>
      <x:c r="F60" s="3"/>
      <x:c r="G60" s="3"/>
      <x:c r="H60" s="3"/>
      <x:c r="I60" s="3"/>
      <x:c r="J60" s="3"/>
      <x:c r="K60" s="3"/>
      <x:c r="L60" s="3"/>
      <x:c r="M60" s="3"/>
      <x:c r="N60" s="3"/>
      <x:c r="O60" s="3"/>
      <x:c r="P60" s="3"/>
      <x:c r="Q60" s="3"/>
      <x:c r="R60" s="3"/>
    </x:row>
    <x:row r="61" ht="20" customHeight="1">
      <x:c r="A61" s="3"/>
      <x:c r="B61" s="3"/>
      <x:c r="C61" s="3"/>
      <x:c r="D61" s="3"/>
      <x:c r="E61" s="3"/>
      <x:c r="F61" s="3"/>
      <x:c r="G61" s="3"/>
      <x:c r="H61" s="3"/>
      <x:c r="I61" s="3"/>
      <x:c r="J61" s="3"/>
      <x:c r="K61" s="3"/>
      <x:c r="L61" s="3"/>
      <x:c r="M61" s="3"/>
      <x:c r="N61" s="3"/>
      <x:c r="O61" s="3"/>
      <x:c r="P61" s="3"/>
      <x:c r="Q61" s="3"/>
      <x:c r="R61" s="3"/>
    </x:row>
    <x:row r="62" ht="20" customHeight="1">
      <x:c r="A62" s="3"/>
      <x:c r="B62" s="3"/>
      <x:c r="C62" s="3"/>
      <x:c r="D62" s="3"/>
      <x:c r="E62" s="3"/>
      <x:c r="F62" s="3"/>
      <x:c r="G62" s="3"/>
      <x:c r="H62" s="3"/>
      <x:c r="I62" s="3"/>
      <x:c r="J62" s="3"/>
      <x:c r="K62" s="3"/>
      <x:c r="L62" s="3"/>
      <x:c r="M62" s="3"/>
      <x:c r="N62" s="3"/>
      <x:c r="O62" s="3"/>
      <x:c r="P62" s="3"/>
      <x:c r="Q62" s="3"/>
      <x:c r="R62" s="3"/>
    </x:row>
    <x:row r="63" ht="20" customHeight="1">
      <x:c r="A63" s="3"/>
      <x:c r="B63" s="3"/>
      <x:c r="C63" s="3"/>
      <x:c r="D63" s="3"/>
      <x:c r="E63" s="3"/>
      <x:c r="F63" s="3"/>
      <x:c r="G63" s="3"/>
      <x:c r="H63" s="3"/>
      <x:c r="I63" s="3"/>
      <x:c r="J63" s="3"/>
      <x:c r="K63" s="3"/>
      <x:c r="L63" s="3"/>
      <x:c r="M63" s="3"/>
      <x:c r="N63" s="3"/>
      <x:c r="O63" s="3"/>
      <x:c r="P63" s="3"/>
      <x:c r="Q63" s="3"/>
      <x:c r="R63" s="3"/>
    </x:row>
    <x:row r="64" ht="20" customHeight="1">
      <x:c r="A64" s="3"/>
      <x:c r="B64" s="3"/>
      <x:c r="C64" s="3"/>
      <x:c r="D64" s="3"/>
      <x:c r="E64" s="3"/>
      <x:c r="F64" s="3"/>
      <x:c r="G64" s="3"/>
      <x:c r="H64" s="3"/>
      <x:c r="I64" s="3"/>
      <x:c r="J64" s="3"/>
      <x:c r="K64" s="3"/>
      <x:c r="L64" s="3"/>
      <x:c r="M64" s="3"/>
      <x:c r="N64" s="3"/>
      <x:c r="O64" s="3"/>
      <x:c r="P64" s="3"/>
      <x:c r="Q64" s="3"/>
      <x:c r="R64" s="3"/>
    </x:row>
    <x:row r="65" ht="20" customHeight="1">
      <x:c r="A65" s="3"/>
      <x:c r="B65" s="3"/>
      <x:c r="C65" s="3"/>
      <x:c r="D65" s="3"/>
      <x:c r="E65" s="3"/>
      <x:c r="F65" s="3"/>
      <x:c r="G65" s="3"/>
      <x:c r="H65" s="3"/>
      <x:c r="I65" s="3"/>
      <x:c r="J65" s="3"/>
      <x:c r="K65" s="3"/>
      <x:c r="L65" s="3"/>
      <x:c r="M65" s="3"/>
      <x:c r="N65" s="3"/>
      <x:c r="O65" s="3"/>
      <x:c r="P65" s="3"/>
      <x:c r="Q65" s="3"/>
      <x:c r="R65" s="3"/>
    </x:row>
    <x:row r="66" ht="20" customHeight="1">
      <x:c r="A66" s="3"/>
      <x:c r="B66" s="3"/>
      <x:c r="C66" s="3"/>
      <x:c r="D66" s="3"/>
      <x:c r="E66" s="3"/>
      <x:c r="F66" s="3"/>
      <x:c r="G66" s="3"/>
      <x:c r="H66" s="3"/>
      <x:c r="I66" s="3"/>
      <x:c r="J66" s="3"/>
      <x:c r="K66" s="3"/>
      <x:c r="L66" s="3"/>
      <x:c r="M66" s="3"/>
      <x:c r="N66" s="3"/>
      <x:c r="O66" s="3"/>
      <x:c r="P66" s="3"/>
      <x:c r="Q66" s="3"/>
      <x:c r="R66" s="3"/>
    </x:row>
    <x:row r="67" ht="20" customHeight="1">
      <x:c r="A67" s="3"/>
      <x:c r="B67" s="3"/>
      <x:c r="C67" s="3"/>
      <x:c r="D67" s="3"/>
      <x:c r="E67" s="3"/>
      <x:c r="F67" s="3"/>
      <x:c r="G67" s="3"/>
      <x:c r="H67" s="3"/>
      <x:c r="I67" s="3"/>
      <x:c r="J67" s="3"/>
      <x:c r="K67" s="3"/>
      <x:c r="L67" s="3"/>
      <x:c r="M67" s="3"/>
      <x:c r="N67" s="3"/>
      <x:c r="O67" s="3"/>
      <x:c r="P67" s="3"/>
      <x:c r="Q67" s="3"/>
      <x:c r="R67" s="3"/>
    </x:row>
    <x:row r="68" ht="20" customHeight="1">
      <x:c r="A68" s="3"/>
      <x:c r="B68" s="3"/>
      <x:c r="C68" s="3"/>
      <x:c r="D68" s="3"/>
      <x:c r="E68" s="3"/>
      <x:c r="F68" s="3"/>
      <x:c r="G68" s="3"/>
      <x:c r="H68" s="3"/>
      <x:c r="I68" s="3"/>
      <x:c r="J68" s="3"/>
      <x:c r="K68" s="3"/>
      <x:c r="L68" s="3"/>
      <x:c r="M68" s="3"/>
      <x:c r="N68" s="3"/>
      <x:c r="O68" s="3"/>
      <x:c r="P68" s="3"/>
      <x:c r="Q68" s="3"/>
      <x:c r="R68" s="3"/>
    </x:row>
    <x:row r="69" ht="20" customHeight="1">
      <x:c r="A69" s="3"/>
      <x:c r="B69" s="3"/>
      <x:c r="C69" s="3"/>
      <x:c r="D69" s="3"/>
      <x:c r="E69" s="3"/>
      <x:c r="F69" s="3"/>
      <x:c r="G69" s="3"/>
      <x:c r="H69" s="3"/>
      <x:c r="I69" s="3"/>
      <x:c r="J69" s="3"/>
      <x:c r="K69" s="3"/>
      <x:c r="L69" s="3"/>
      <x:c r="M69" s="3"/>
      <x:c r="N69" s="3"/>
      <x:c r="O69" s="3"/>
      <x:c r="P69" s="3"/>
      <x:c r="Q69" s="3"/>
      <x:c r="R69" s="3"/>
    </x:row>
    <x:row r="70" ht="20" customHeight="1">
      <x:c r="A70" s="3"/>
      <x:c r="B70" s="3"/>
      <x:c r="C70" s="3"/>
      <x:c r="D70" s="3"/>
      <x:c r="E70" s="3"/>
      <x:c r="F70" s="3"/>
      <x:c r="G70" s="3"/>
      <x:c r="H70" s="3"/>
      <x:c r="I70" s="3"/>
      <x:c r="J70" s="3"/>
      <x:c r="K70" s="3"/>
      <x:c r="L70" s="3"/>
      <x:c r="M70" s="3"/>
      <x:c r="N70" s="3"/>
      <x:c r="O70" s="3"/>
      <x:c r="P70" s="3"/>
      <x:c r="Q70" s="3"/>
      <x:c r="R70" s="3"/>
    </x:row>
    <x:row r="71" ht="20" customHeight="1">
      <x:c r="A71" s="3"/>
      <x:c r="B71" s="3"/>
      <x:c r="C71" s="3"/>
      <x:c r="D71" s="3"/>
      <x:c r="E71" s="3"/>
      <x:c r="F71" s="3"/>
      <x:c r="G71" s="3"/>
      <x:c r="H71" s="3"/>
      <x:c r="I71" s="3"/>
      <x:c r="J71" s="3"/>
      <x:c r="K71" s="3"/>
      <x:c r="L71" s="3"/>
      <x:c r="M71" s="3"/>
      <x:c r="N71" s="3"/>
      <x:c r="O71" s="3"/>
      <x:c r="P71" s="3"/>
      <x:c r="Q71" s="3"/>
      <x:c r="R71" s="3"/>
    </x:row>
    <x:row r="72" ht="20" customHeight="1">
      <x:c r="A72" s="3"/>
      <x:c r="B72" s="3"/>
      <x:c r="C72" s="3"/>
      <x:c r="D72" s="3"/>
      <x:c r="E72" s="3"/>
      <x:c r="F72" s="3"/>
      <x:c r="G72" s="3"/>
      <x:c r="H72" s="3"/>
      <x:c r="I72" s="3"/>
      <x:c r="J72" s="3"/>
      <x:c r="K72" s="3"/>
      <x:c r="L72" s="3"/>
      <x:c r="M72" s="3"/>
      <x:c r="N72" s="3"/>
      <x:c r="O72" s="3"/>
      <x:c r="P72" s="3"/>
      <x:c r="Q72" s="3"/>
      <x:c r="R72" s="3"/>
    </x:row>
    <x:row r="73" ht="20" customHeight="1">
      <x:c r="A73" s="3"/>
      <x:c r="B73" s="3"/>
      <x:c r="C73" s="3"/>
      <x:c r="D73" s="3"/>
      <x:c r="E73" s="3"/>
      <x:c r="F73" s="3"/>
      <x:c r="G73" s="3"/>
      <x:c r="H73" s="3"/>
      <x:c r="I73" s="3"/>
      <x:c r="J73" s="3"/>
      <x:c r="K73" s="3"/>
      <x:c r="L73" s="3"/>
      <x:c r="M73" s="3"/>
      <x:c r="N73" s="3"/>
      <x:c r="O73" s="3"/>
      <x:c r="P73" s="3"/>
      <x:c r="Q73" s="3"/>
      <x:c r="R73" s="3"/>
    </x:row>
    <x:row r="74" ht="20" customHeight="1">
      <x:c r="A74" s="3"/>
      <x:c r="B74" s="3"/>
      <x:c r="C74" s="3"/>
      <x:c r="D74" s="3"/>
      <x:c r="E74" s="3"/>
      <x:c r="F74" s="3"/>
      <x:c r="G74" s="3"/>
      <x:c r="H74" s="3"/>
      <x:c r="I74" s="3"/>
      <x:c r="J74" s="3"/>
      <x:c r="K74" s="3"/>
      <x:c r="L74" s="3"/>
      <x:c r="M74" s="3"/>
      <x:c r="N74" s="3"/>
      <x:c r="O74" s="3"/>
      <x:c r="P74" s="3"/>
      <x:c r="Q74" s="3"/>
      <x:c r="R74" s="3"/>
    </x:row>
    <x:row r="75" ht="20" customHeight="1">
      <x:c r="A75" s="3"/>
      <x:c r="B75" s="3"/>
      <x:c r="C75" s="3"/>
      <x:c r="D75" s="3"/>
      <x:c r="E75" s="3"/>
      <x:c r="F75" s="3"/>
      <x:c r="G75" s="3"/>
      <x:c r="H75" s="3"/>
      <x:c r="I75" s="3"/>
      <x:c r="J75" s="3"/>
      <x:c r="K75" s="3"/>
      <x:c r="L75" s="3"/>
      <x:c r="M75" s="3"/>
      <x:c r="N75" s="3"/>
      <x:c r="O75" s="3"/>
      <x:c r="P75" s="3"/>
      <x:c r="Q75" s="3"/>
      <x:c r="R75" s="3"/>
    </x:row>
    <x:row r="76" ht="20" customHeight="1">
      <x:c r="A76" s="3"/>
      <x:c r="B76" s="3"/>
      <x:c r="C76" s="3"/>
      <x:c r="D76" s="3"/>
      <x:c r="E76" s="3"/>
      <x:c r="F76" s="3"/>
      <x:c r="G76" s="3"/>
      <x:c r="H76" s="3"/>
      <x:c r="I76" s="3"/>
      <x:c r="J76" s="3"/>
      <x:c r="K76" s="3"/>
      <x:c r="L76" s="3"/>
      <x:c r="M76" s="3"/>
      <x:c r="N76" s="3"/>
      <x:c r="O76" s="3"/>
      <x:c r="P76" s="3"/>
      <x:c r="Q76" s="3"/>
      <x:c r="R76" s="3"/>
    </x:row>
    <x:row r="77" ht="20" customHeight="1">
      <x:c r="A77" s="3"/>
      <x:c r="B77" s="3"/>
      <x:c r="C77" s="3"/>
      <x:c r="D77" s="3"/>
      <x:c r="E77" s="3"/>
      <x:c r="F77" s="3"/>
      <x:c r="G77" s="3"/>
      <x:c r="H77" s="3"/>
      <x:c r="I77" s="3"/>
      <x:c r="J77" s="3"/>
      <x:c r="K77" s="3"/>
      <x:c r="L77" s="3"/>
      <x:c r="M77" s="3"/>
      <x:c r="N77" s="3"/>
      <x:c r="O77" s="3"/>
      <x:c r="P77" s="3"/>
      <x:c r="Q77" s="3"/>
      <x:c r="R77" s="3"/>
    </x:row>
    <x:row r="78" ht="20" customHeight="1">
      <x:c r="A78" s="3"/>
      <x:c r="B78" s="3"/>
      <x:c r="C78" s="3"/>
      <x:c r="D78" s="3"/>
      <x:c r="E78" s="3"/>
      <x:c r="F78" s="3"/>
      <x:c r="G78" s="3"/>
      <x:c r="H78" s="3"/>
      <x:c r="I78" s="3"/>
      <x:c r="J78" s="3"/>
      <x:c r="K78" s="3"/>
      <x:c r="L78" s="3"/>
      <x:c r="M78" s="3"/>
      <x:c r="N78" s="3"/>
      <x:c r="O78" s="3"/>
      <x:c r="P78" s="3"/>
      <x:c r="Q78" s="3"/>
      <x:c r="R78" s="3"/>
    </x:row>
    <x:row r="79" ht="20" customHeight="1">
      <x:c r="A79" s="3"/>
      <x:c r="B79" s="3"/>
      <x:c r="C79" s="3"/>
      <x:c r="D79" s="3"/>
      <x:c r="E79" s="3"/>
      <x:c r="F79" s="3"/>
      <x:c r="G79" s="3"/>
      <x:c r="H79" s="3"/>
      <x:c r="I79" s="3"/>
      <x:c r="J79" s="3"/>
      <x:c r="K79" s="3"/>
      <x:c r="L79" s="3"/>
      <x:c r="M79" s="3"/>
      <x:c r="N79" s="3"/>
      <x:c r="O79" s="3"/>
      <x:c r="P79" s="3"/>
      <x:c r="Q79" s="3"/>
      <x:c r="R79" s="3"/>
    </x:row>
    <x:row r="80" ht="20" customHeight="1">
      <x:c r="A80" s="3"/>
      <x:c r="B80" s="3"/>
      <x:c r="C80" s="3"/>
      <x:c r="D80" s="3"/>
      <x:c r="E80" s="3"/>
      <x:c r="F80" s="3"/>
      <x:c r="G80" s="3"/>
      <x:c r="H80" s="3"/>
      <x:c r="I80" s="3"/>
      <x:c r="J80" s="3"/>
      <x:c r="K80" s="3"/>
      <x:c r="L80" s="3"/>
      <x:c r="M80" s="3"/>
      <x:c r="N80" s="3"/>
      <x:c r="O80" s="3"/>
      <x:c r="P80" s="3"/>
      <x:c r="Q80" s="3"/>
      <x:c r="R80" s="3"/>
    </x:row>
    <x:row r="81" ht="20" customHeight="1">
      <x:c r="A81" s="3"/>
      <x:c r="B81" s="3"/>
      <x:c r="C81" s="3"/>
      <x:c r="D81" s="3"/>
      <x:c r="E81" s="3"/>
      <x:c r="F81" s="3"/>
      <x:c r="G81" s="3"/>
      <x:c r="H81" s="3"/>
      <x:c r="I81" s="3"/>
      <x:c r="J81" s="3"/>
      <x:c r="K81" s="3"/>
      <x:c r="L81" s="3"/>
      <x:c r="M81" s="3"/>
      <x:c r="N81" s="3"/>
      <x:c r="O81" s="3"/>
      <x:c r="P81" s="3"/>
      <x:c r="Q81" s="3"/>
      <x:c r="R81" s="3"/>
    </x:row>
    <x:row r="82" ht="20" customHeight="1">
      <x:c r="A82" s="3"/>
      <x:c r="B82" s="3"/>
      <x:c r="C82" s="3"/>
      <x:c r="D82" s="3"/>
      <x:c r="E82" s="3"/>
      <x:c r="F82" s="3"/>
      <x:c r="G82" s="3"/>
      <x:c r="H82" s="3"/>
      <x:c r="I82" s="3"/>
      <x:c r="J82" s="3"/>
      <x:c r="K82" s="3"/>
      <x:c r="L82" s="3"/>
      <x:c r="M82" s="3"/>
      <x:c r="N82" s="3"/>
      <x:c r="O82" s="3"/>
      <x:c r="P82" s="3"/>
      <x:c r="Q82" s="3"/>
      <x:c r="R82" s="3"/>
    </x:row>
    <x:row r="83" ht="20" customHeight="1">
      <x:c r="A83" s="3"/>
      <x:c r="B83" s="3"/>
      <x:c r="C83" s="3"/>
      <x:c r="D83" s="3"/>
      <x:c r="E83" s="3"/>
      <x:c r="F83" s="3"/>
      <x:c r="G83" s="3"/>
      <x:c r="H83" s="3"/>
      <x:c r="I83" s="3"/>
      <x:c r="J83" s="3"/>
      <x:c r="K83" s="3"/>
      <x:c r="L83" s="3"/>
      <x:c r="M83" s="3"/>
      <x:c r="N83" s="3"/>
      <x:c r="O83" s="3"/>
      <x:c r="P83" s="3"/>
      <x:c r="Q83" s="3"/>
      <x:c r="R83" s="3"/>
    </x:row>
    <x:row r="84" ht="20" customHeight="1">
      <x:c r="A84" s="3"/>
      <x:c r="B84" s="3"/>
      <x:c r="C84" s="3"/>
      <x:c r="D84" s="3"/>
      <x:c r="E84" s="3"/>
      <x:c r="F84" s="3"/>
      <x:c r="G84" s="3"/>
      <x:c r="H84" s="3"/>
      <x:c r="I84" s="3"/>
      <x:c r="J84" s="3"/>
      <x:c r="K84" s="3"/>
      <x:c r="L84" s="3"/>
      <x:c r="M84" s="3"/>
      <x:c r="N84" s="3"/>
      <x:c r="O84" s="3"/>
      <x:c r="P84" s="3"/>
      <x:c r="Q84" s="3"/>
      <x:c r="R84" s="3"/>
    </x:row>
    <x:row r="85" ht="20" customHeight="1">
      <x:c r="A85" s="3"/>
      <x:c r="B85" s="3"/>
      <x:c r="C85" s="3"/>
      <x:c r="D85" s="3"/>
      <x:c r="E85" s="3"/>
      <x:c r="F85" s="3"/>
      <x:c r="G85" s="3"/>
      <x:c r="H85" s="3"/>
      <x:c r="I85" s="3"/>
      <x:c r="J85" s="3"/>
      <x:c r="K85" s="3"/>
      <x:c r="L85" s="3"/>
      <x:c r="M85" s="3"/>
      <x:c r="N85" s="3"/>
      <x:c r="O85" s="3"/>
      <x:c r="P85" s="3"/>
      <x:c r="Q85" s="3"/>
      <x:c r="R85" s="3"/>
    </x:row>
    <x:row r="86" ht="20" customHeight="1">
      <x:c r="A86" s="3"/>
      <x:c r="B86" s="3"/>
      <x:c r="C86" s="3"/>
      <x:c r="D86" s="3"/>
      <x:c r="E86" s="3"/>
      <x:c r="F86" s="3"/>
      <x:c r="G86" s="3"/>
      <x:c r="H86" s="3"/>
      <x:c r="I86" s="3"/>
      <x:c r="J86" s="3"/>
      <x:c r="K86" s="3"/>
      <x:c r="L86" s="3"/>
      <x:c r="M86" s="3"/>
      <x:c r="N86" s="3"/>
      <x:c r="O86" s="3"/>
      <x:c r="P86" s="3"/>
      <x:c r="Q86" s="3"/>
      <x:c r="R86" s="3"/>
    </x:row>
    <x:row r="87" ht="20" customHeight="1">
      <x:c r="A87" s="3"/>
      <x:c r="B87" s="3"/>
      <x:c r="C87" s="3"/>
      <x:c r="D87" s="3"/>
      <x:c r="E87" s="3"/>
      <x:c r="F87" s="3"/>
      <x:c r="G87" s="3"/>
      <x:c r="H87" s="3"/>
      <x:c r="I87" s="3"/>
      <x:c r="J87" s="3"/>
      <x:c r="K87" s="3"/>
      <x:c r="L87" s="3"/>
      <x:c r="M87" s="3"/>
      <x:c r="N87" s="3"/>
      <x:c r="O87" s="3"/>
      <x:c r="P87" s="3"/>
      <x:c r="Q87" s="3"/>
      <x:c r="R87" s="3"/>
    </x:row>
    <x:row r="88" ht="20" customHeight="1">
      <x:c r="A88" s="3"/>
      <x:c r="B88" s="3"/>
      <x:c r="C88" s="3"/>
      <x:c r="D88" s="3"/>
      <x:c r="E88" s="3"/>
      <x:c r="F88" s="3"/>
      <x:c r="G88" s="3"/>
      <x:c r="H88" s="3"/>
      <x:c r="I88" s="3"/>
      <x:c r="J88" s="3"/>
      <x:c r="K88" s="3"/>
      <x:c r="L88" s="3"/>
      <x:c r="M88" s="3"/>
      <x:c r="N88" s="3"/>
      <x:c r="O88" s="3"/>
      <x:c r="P88" s="3"/>
      <x:c r="Q88" s="3"/>
      <x:c r="R88" s="3"/>
    </x:row>
    <x:row r="89" ht="20" customHeight="1">
      <x:c r="A89" s="3"/>
      <x:c r="B89" s="3"/>
      <x:c r="C89" s="3"/>
      <x:c r="D89" s="3"/>
      <x:c r="E89" s="3"/>
      <x:c r="F89" s="3"/>
      <x:c r="G89" s="3"/>
      <x:c r="H89" s="3"/>
      <x:c r="I89" s="3"/>
      <x:c r="J89" s="3"/>
      <x:c r="K89" s="3"/>
      <x:c r="L89" s="3"/>
      <x:c r="M89" s="3"/>
      <x:c r="N89" s="3"/>
      <x:c r="O89" s="3"/>
      <x:c r="P89" s="3"/>
      <x:c r="Q89" s="3"/>
      <x:c r="R89" s="3"/>
    </x:row>
    <x:row r="90" ht="20" customHeight="1">
      <x:c r="A90" s="3"/>
      <x:c r="B90" s="3"/>
      <x:c r="C90" s="3"/>
      <x:c r="D90" s="3"/>
      <x:c r="E90" s="3"/>
      <x:c r="F90" s="3"/>
      <x:c r="G90" s="3"/>
      <x:c r="H90" s="3"/>
      <x:c r="I90" s="3"/>
      <x:c r="J90" s="3"/>
      <x:c r="K90" s="3"/>
      <x:c r="L90" s="3"/>
      <x:c r="M90" s="3"/>
      <x:c r="N90" s="3"/>
      <x:c r="O90" s="3"/>
      <x:c r="P90" s="3"/>
      <x:c r="Q90" s="3"/>
      <x:c r="R90" s="3"/>
    </x:row>
    <x:row r="91" ht="20" customHeight="1">
      <x:c r="A91" s="3"/>
      <x:c r="B91" s="3"/>
      <x:c r="C91" s="3"/>
      <x:c r="D91" s="3"/>
      <x:c r="E91" s="3"/>
      <x:c r="F91" s="3"/>
      <x:c r="G91" s="3"/>
      <x:c r="H91" s="3"/>
      <x:c r="I91" s="3"/>
      <x:c r="J91" s="3"/>
      <x:c r="K91" s="3"/>
      <x:c r="L91" s="3"/>
      <x:c r="M91" s="3"/>
      <x:c r="N91" s="3"/>
      <x:c r="O91" s="3"/>
      <x:c r="P91" s="3"/>
      <x:c r="Q91" s="3"/>
      <x:c r="R91" s="3"/>
    </x:row>
    <x:row r="92" ht="20" customHeight="1">
      <x:c r="A92" s="3"/>
      <x:c r="B92" s="3"/>
      <x:c r="C92" s="3"/>
      <x:c r="D92" s="3"/>
      <x:c r="E92" s="3"/>
      <x:c r="F92" s="3"/>
      <x:c r="G92" s="3"/>
      <x:c r="H92" s="3"/>
      <x:c r="I92" s="3"/>
      <x:c r="J92" s="3"/>
      <x:c r="K92" s="3"/>
      <x:c r="L92" s="3"/>
      <x:c r="M92" s="3"/>
      <x:c r="N92" s="3"/>
      <x:c r="O92" s="3"/>
      <x:c r="P92" s="3"/>
      <x:c r="Q92" s="3"/>
      <x:c r="R92" s="3"/>
    </x:row>
    <x:row r="93" ht="20" customHeight="1">
      <x:c r="A93" s="3"/>
      <x:c r="B93" s="3"/>
      <x:c r="C93" s="3"/>
      <x:c r="D93" s="3"/>
      <x:c r="E93" s="3"/>
      <x:c r="F93" s="3"/>
      <x:c r="G93" s="3"/>
      <x:c r="H93" s="3"/>
      <x:c r="I93" s="3"/>
      <x:c r="J93" s="3"/>
      <x:c r="K93" s="3"/>
      <x:c r="L93" s="3"/>
      <x:c r="M93" s="3"/>
      <x:c r="N93" s="3"/>
      <x:c r="O93" s="3"/>
      <x:c r="P93" s="3"/>
      <x:c r="Q93" s="3"/>
      <x:c r="R93" s="3"/>
    </x:row>
    <x:row r="94" ht="20" customHeight="1">
      <x:c r="A94" s="3"/>
      <x:c r="B94" s="3"/>
      <x:c r="C94" s="3"/>
      <x:c r="D94" s="3"/>
      <x:c r="E94" s="3"/>
      <x:c r="F94" s="3"/>
      <x:c r="G94" s="3"/>
      <x:c r="H94" s="3"/>
      <x:c r="I94" s="3"/>
      <x:c r="J94" s="3"/>
      <x:c r="K94" s="3"/>
      <x:c r="L94" s="3"/>
      <x:c r="M94" s="3"/>
      <x:c r="N94" s="3"/>
      <x:c r="O94" s="3"/>
      <x:c r="P94" s="3"/>
      <x:c r="Q94" s="3"/>
      <x:c r="R94" s="3"/>
    </x:row>
    <x:row r="95" ht="20" customHeight="1">
      <x:c r="A95" s="3"/>
      <x:c r="B95" s="3"/>
      <x:c r="C95" s="3"/>
      <x:c r="D95" s="3"/>
      <x:c r="E95" s="3"/>
      <x:c r="F95" s="3"/>
      <x:c r="G95" s="3"/>
      <x:c r="H95" s="3"/>
      <x:c r="I95" s="3"/>
      <x:c r="J95" s="3"/>
      <x:c r="K95" s="3"/>
      <x:c r="L95" s="3"/>
      <x:c r="M95" s="3"/>
      <x:c r="N95" s="3"/>
      <x:c r="O95" s="3"/>
      <x:c r="P95" s="3"/>
      <x:c r="Q95" s="3"/>
      <x:c r="R95" s="3"/>
    </x:row>
    <x:row r="96" ht="20" customHeight="1">
      <x:c r="A96" s="3"/>
      <x:c r="B96" s="3"/>
      <x:c r="C96" s="3"/>
      <x:c r="D96" s="3"/>
      <x:c r="E96" s="3"/>
      <x:c r="F96" s="3"/>
      <x:c r="G96" s="3"/>
      <x:c r="H96" s="3"/>
      <x:c r="I96" s="3"/>
      <x:c r="J96" s="3"/>
      <x:c r="K96" s="3"/>
      <x:c r="L96" s="3"/>
      <x:c r="M96" s="3"/>
      <x:c r="N96" s="3"/>
      <x:c r="O96" s="3"/>
      <x:c r="P96" s="3"/>
      <x:c r="Q96" s="3"/>
      <x:c r="R96" s="3"/>
    </x:row>
    <x:row r="97" ht="20" customHeight="1">
      <x:c r="A97" s="3"/>
      <x:c r="B97" s="3"/>
      <x:c r="C97" s="3"/>
      <x:c r="D97" s="3"/>
      <x:c r="E97" s="3"/>
      <x:c r="F97" s="3"/>
      <x:c r="G97" s="3"/>
      <x:c r="H97" s="3"/>
      <x:c r="I97" s="3"/>
      <x:c r="J97" s="3"/>
      <x:c r="K97" s="3"/>
      <x:c r="L97" s="3"/>
      <x:c r="M97" s="3"/>
      <x:c r="N97" s="3"/>
      <x:c r="O97" s="3"/>
      <x:c r="P97" s="3"/>
      <x:c r="Q97" s="3"/>
      <x:c r="R97" s="3"/>
    </x:row>
    <x:row r="98" ht="20" customHeight="1">
      <x:c r="A98" s="3"/>
      <x:c r="B98" s="3"/>
      <x:c r="C98" s="3"/>
      <x:c r="D98" s="3"/>
      <x:c r="E98" s="3"/>
      <x:c r="F98" s="3"/>
      <x:c r="G98" s="3"/>
      <x:c r="H98" s="3"/>
      <x:c r="I98" s="3"/>
      <x:c r="J98" s="3"/>
      <x:c r="K98" s="3"/>
      <x:c r="L98" s="3"/>
      <x:c r="M98" s="3"/>
      <x:c r="N98" s="3"/>
      <x:c r="O98" s="3"/>
      <x:c r="P98" s="3"/>
      <x:c r="Q98" s="3"/>
      <x:c r="R98" s="3"/>
    </x:row>
    <x:row r="99" ht="20" customHeight="1">
      <x:c r="A99" s="3"/>
      <x:c r="B99" s="3"/>
      <x:c r="C99" s="3"/>
      <x:c r="D99" s="3"/>
      <x:c r="E99" s="3"/>
      <x:c r="F99" s="3"/>
      <x:c r="G99" s="3"/>
      <x:c r="H99" s="3"/>
      <x:c r="I99" s="3"/>
      <x:c r="J99" s="3"/>
      <x:c r="K99" s="3"/>
      <x:c r="L99" s="3"/>
      <x:c r="M99" s="3"/>
      <x:c r="N99" s="3"/>
      <x:c r="O99" s="3"/>
      <x:c r="P99" s="3"/>
      <x:c r="Q99" s="3"/>
      <x:c r="R99" s="3"/>
    </x:row>
    <x:row r="100" ht="20" customHeight="1">
      <x:c r="A100" s="3"/>
      <x:c r="B100" s="3"/>
      <x:c r="C100" s="3"/>
      <x:c r="D100" s="3"/>
      <x:c r="E100" s="3"/>
      <x:c r="F100" s="3"/>
      <x:c r="G100" s="3"/>
      <x:c r="H100" s="3"/>
      <x:c r="I100" s="3"/>
      <x:c r="J100" s="3"/>
      <x:c r="K100" s="3"/>
      <x:c r="L100" s="3"/>
      <x:c r="M100" s="3"/>
      <x:c r="N100" s="3"/>
      <x:c r="O100" s="3"/>
      <x:c r="P100" s="3"/>
      <x:c r="Q100" s="3"/>
      <x:c r="R100" s="3"/>
    </x:row>
    <x:row r="101" ht="20" customHeight="1">
      <x:c r="A101" s="3"/>
      <x:c r="B101" s="3"/>
      <x:c r="C101" s="3"/>
      <x:c r="D101" s="3"/>
      <x:c r="E101" s="3"/>
      <x:c r="F101" s="3"/>
      <x:c r="G101" s="3"/>
      <x:c r="H101" s="3"/>
      <x:c r="I101" s="3"/>
      <x:c r="J101" s="3"/>
      <x:c r="K101" s="3"/>
      <x:c r="L101" s="3"/>
      <x:c r="M101" s="3"/>
      <x:c r="N101" s="3"/>
      <x:c r="O101" s="3"/>
      <x:c r="P101" s="3"/>
      <x:c r="Q101" s="3"/>
      <x:c r="R101" s="3"/>
    </x:row>
    <x:row r="102" ht="20" customHeight="1">
      <x:c r="A102" s="3"/>
      <x:c r="B102" s="3"/>
      <x:c r="C102" s="3"/>
      <x:c r="D102" s="3"/>
      <x:c r="E102" s="3"/>
      <x:c r="F102" s="3"/>
      <x:c r="G102" s="3"/>
      <x:c r="H102" s="3"/>
      <x:c r="I102" s="3"/>
      <x:c r="J102" s="3"/>
      <x:c r="K102" s="3"/>
      <x:c r="L102" s="3"/>
      <x:c r="M102" s="3"/>
      <x:c r="N102" s="3"/>
      <x:c r="O102" s="3"/>
      <x:c r="P102" s="3"/>
      <x:c r="Q102" s="3"/>
      <x:c r="R102" s="3"/>
    </x:row>
    <x:row r="103" ht="20" customHeight="1">
      <x:c r="A103" s="3"/>
      <x:c r="B103" s="3"/>
      <x:c r="C103" s="3"/>
      <x:c r="D103" s="3"/>
      <x:c r="E103" s="3"/>
      <x:c r="F103" s="3"/>
      <x:c r="G103" s="3"/>
      <x:c r="H103" s="3"/>
      <x:c r="I103" s="3"/>
      <x:c r="J103" s="3"/>
      <x:c r="K103" s="3"/>
      <x:c r="L103" s="3"/>
      <x:c r="M103" s="3"/>
      <x:c r="N103" s="3"/>
      <x:c r="O103" s="3"/>
      <x:c r="P103" s="3"/>
      <x:c r="Q103" s="3"/>
      <x:c r="R103" s="3"/>
    </x:row>
    <x:row r="104" ht="20" customHeight="1">
      <x:c r="A104" s="3"/>
      <x:c r="B104" s="3"/>
      <x:c r="C104" s="3"/>
      <x:c r="D104" s="3"/>
      <x:c r="E104" s="3"/>
      <x:c r="F104" s="3"/>
      <x:c r="G104" s="3"/>
      <x:c r="H104" s="3"/>
      <x:c r="I104" s="3"/>
      <x:c r="J104" s="3"/>
      <x:c r="K104" s="3"/>
      <x:c r="L104" s="3"/>
      <x:c r="M104" s="3"/>
      <x:c r="N104" s="3"/>
      <x:c r="O104" s="3"/>
      <x:c r="P104" s="3"/>
      <x:c r="Q104" s="3"/>
      <x:c r="R104" s="3"/>
    </x:row>
    <x:row r="105" ht="20" customHeight="1">
      <x:c r="A105" s="3"/>
      <x:c r="B105" s="3"/>
      <x:c r="C105" s="3"/>
      <x:c r="D105" s="3"/>
      <x:c r="E105" s="3"/>
      <x:c r="F105" s="3"/>
      <x:c r="G105" s="3"/>
      <x:c r="H105" s="3"/>
      <x:c r="I105" s="3"/>
      <x:c r="J105" s="3"/>
      <x:c r="K105" s="3"/>
      <x:c r="L105" s="3"/>
      <x:c r="M105" s="3"/>
      <x:c r="N105" s="3"/>
      <x:c r="O105" s="3"/>
      <x:c r="P105" s="3"/>
      <x:c r="Q105" s="3"/>
      <x:c r="R105" s="3"/>
    </x:row>
    <x:row r="106" ht="20" customHeight="1">
      <x:c r="A106" s="3"/>
      <x:c r="B106" s="3"/>
      <x:c r="C106" s="3"/>
      <x:c r="D106" s="3"/>
      <x:c r="E106" s="3"/>
      <x:c r="F106" s="3"/>
      <x:c r="G106" s="3"/>
      <x:c r="H106" s="3"/>
      <x:c r="I106" s="3"/>
      <x:c r="J106" s="3"/>
      <x:c r="K106" s="3"/>
      <x:c r="L106" s="3"/>
      <x:c r="M106" s="3"/>
      <x:c r="N106" s="3"/>
      <x:c r="O106" s="3"/>
      <x:c r="P106" s="3"/>
      <x:c r="Q106" s="3"/>
      <x:c r="R106" s="3"/>
    </x:row>
    <x:row r="107" ht="20" customHeight="1">
      <x:c r="A107" s="3"/>
      <x:c r="B107" s="3"/>
      <x:c r="C107" s="3"/>
      <x:c r="D107" s="3"/>
      <x:c r="E107" s="3"/>
      <x:c r="F107" s="3"/>
      <x:c r="G107" s="3"/>
      <x:c r="H107" s="3"/>
      <x:c r="I107" s="3"/>
      <x:c r="J107" s="3"/>
      <x:c r="K107" s="3"/>
      <x:c r="L107" s="3"/>
      <x:c r="M107" s="3"/>
      <x:c r="N107" s="3"/>
      <x:c r="O107" s="3"/>
      <x:c r="P107" s="3"/>
      <x:c r="Q107" s="3"/>
      <x:c r="R107" s="3"/>
    </x:row>
    <x:row r="108" ht="20" customHeight="1">
      <x:c r="A108" s="3"/>
      <x:c r="B108" s="3"/>
      <x:c r="C108" s="3"/>
      <x:c r="D108" s="3"/>
      <x:c r="E108" s="3"/>
      <x:c r="F108" s="3"/>
      <x:c r="G108" s="3"/>
      <x:c r="H108" s="3"/>
      <x:c r="I108" s="3"/>
      <x:c r="J108" s="3"/>
      <x:c r="K108" s="3"/>
      <x:c r="L108" s="3"/>
      <x:c r="M108" s="3"/>
      <x:c r="N108" s="3"/>
      <x:c r="O108" s="3"/>
      <x:c r="P108" s="3"/>
      <x:c r="Q108" s="3"/>
      <x:c r="R108" s="3"/>
    </x:row>
    <x:row r="109" ht="20" customHeight="1">
      <x:c r="A109" s="3"/>
      <x:c r="B109" s="3"/>
      <x:c r="C109" s="3"/>
      <x:c r="D109" s="3"/>
      <x:c r="E109" s="3"/>
      <x:c r="F109" s="3"/>
      <x:c r="G109" s="3"/>
      <x:c r="H109" s="3"/>
      <x:c r="I109" s="3"/>
      <x:c r="J109" s="3"/>
      <x:c r="K109" s="3"/>
      <x:c r="L109" s="3"/>
      <x:c r="M109" s="3"/>
      <x:c r="N109" s="3"/>
      <x:c r="O109" s="3"/>
      <x:c r="P109" s="3"/>
      <x:c r="Q109" s="3"/>
      <x:c r="R109" s="3"/>
    </x:row>
    <x:row r="110" ht="20" customHeight="1">
      <x:c r="A110" s="3"/>
      <x:c r="B110" s="3"/>
      <x:c r="C110" s="3"/>
      <x:c r="D110" s="3"/>
      <x:c r="E110" s="3"/>
      <x:c r="F110" s="3"/>
      <x:c r="G110" s="3"/>
      <x:c r="H110" s="3"/>
      <x:c r="I110" s="3"/>
      <x:c r="J110" s="3"/>
      <x:c r="K110" s="3"/>
      <x:c r="L110" s="3"/>
      <x:c r="M110" s="3"/>
      <x:c r="N110" s="3"/>
      <x:c r="O110" s="3"/>
      <x:c r="P110" s="3"/>
      <x:c r="Q110" s="3"/>
      <x:c r="R110" s="3"/>
    </x:row>
    <x:row r="111" ht="20" customHeight="1">
      <x:c r="A111" s="3"/>
      <x:c r="B111" s="3"/>
      <x:c r="C111" s="3"/>
      <x:c r="D111" s="3"/>
      <x:c r="E111" s="3"/>
      <x:c r="F111" s="3"/>
      <x:c r="G111" s="3"/>
      <x:c r="H111" s="3"/>
      <x:c r="I111" s="3"/>
      <x:c r="J111" s="3"/>
      <x:c r="K111" s="3"/>
      <x:c r="L111" s="3"/>
      <x:c r="M111" s="3"/>
      <x:c r="N111" s="3"/>
      <x:c r="O111" s="3"/>
      <x:c r="P111" s="3"/>
      <x:c r="Q111" s="3"/>
      <x:c r="R111" s="3"/>
    </x:row>
    <x:row r="112" ht="20" customHeight="1">
      <x:c r="A112" s="3"/>
      <x:c r="B112" s="3"/>
      <x:c r="C112" s="3"/>
      <x:c r="D112" s="3"/>
      <x:c r="E112" s="3"/>
      <x:c r="F112" s="3"/>
      <x:c r="G112" s="3"/>
      <x:c r="H112" s="3"/>
      <x:c r="I112" s="3"/>
      <x:c r="J112" s="3"/>
      <x:c r="K112" s="3"/>
      <x:c r="L112" s="3"/>
      <x:c r="M112" s="3"/>
      <x:c r="N112" s="3"/>
      <x:c r="O112" s="3"/>
      <x:c r="P112" s="3"/>
      <x:c r="Q112" s="3"/>
      <x:c r="R112" s="3"/>
    </x:row>
    <x:row r="113" ht="20" customHeight="1">
      <x:c r="A113" s="3"/>
      <x:c r="B113" s="3"/>
      <x:c r="C113" s="3"/>
      <x:c r="D113" s="3"/>
      <x:c r="E113" s="3"/>
      <x:c r="F113" s="3"/>
      <x:c r="G113" s="3"/>
      <x:c r="H113" s="3"/>
      <x:c r="I113" s="3"/>
      <x:c r="J113" s="3"/>
      <x:c r="K113" s="3"/>
      <x:c r="L113" s="3"/>
      <x:c r="M113" s="3"/>
      <x:c r="N113" s="3"/>
      <x:c r="O113" s="3"/>
      <x:c r="P113" s="3"/>
      <x:c r="Q113" s="3"/>
      <x:c r="R113" s="3"/>
    </x:row>
    <x:row r="114" ht="20" customHeight="1">
      <x:c r="A114" s="3"/>
      <x:c r="B114" s="3"/>
      <x:c r="C114" s="3"/>
      <x:c r="D114" s="3"/>
      <x:c r="E114" s="3"/>
      <x:c r="F114" s="3"/>
      <x:c r="G114" s="3"/>
      <x:c r="H114" s="3"/>
      <x:c r="I114" s="3"/>
      <x:c r="J114" s="3"/>
      <x:c r="K114" s="3"/>
      <x:c r="L114" s="3"/>
      <x:c r="M114" s="3"/>
      <x:c r="N114" s="3"/>
      <x:c r="O114" s="3"/>
      <x:c r="P114" s="3"/>
      <x:c r="Q114" s="3"/>
      <x:c r="R114" s="3"/>
    </x:row>
    <x:row r="115" ht="20" customHeight="1">
      <x:c r="A115" s="3"/>
      <x:c r="B115" s="3"/>
      <x:c r="C115" s="3"/>
      <x:c r="D115" s="3"/>
      <x:c r="E115" s="3"/>
      <x:c r="F115" s="3"/>
      <x:c r="G115" s="3"/>
      <x:c r="H115" s="3"/>
      <x:c r="I115" s="3"/>
      <x:c r="J115" s="3"/>
      <x:c r="K115" s="3"/>
      <x:c r="L115" s="3"/>
      <x:c r="M115" s="3"/>
      <x:c r="N115" s="3"/>
      <x:c r="O115" s="3"/>
      <x:c r="P115" s="3"/>
      <x:c r="Q115" s="3"/>
      <x:c r="R115" s="3"/>
    </x:row>
    <x:row r="116" ht="20" customHeight="1">
      <x:c r="A116" s="3"/>
      <x:c r="B116" s="3"/>
      <x:c r="C116" s="3"/>
      <x:c r="D116" s="3"/>
      <x:c r="E116" s="3"/>
      <x:c r="F116" s="3"/>
      <x:c r="G116" s="3"/>
      <x:c r="H116" s="3"/>
      <x:c r="I116" s="3"/>
      <x:c r="J116" s="3"/>
      <x:c r="K116" s="3"/>
      <x:c r="L116" s="3"/>
      <x:c r="M116" s="3"/>
      <x:c r="N116" s="3"/>
      <x:c r="O116" s="3"/>
      <x:c r="P116" s="3"/>
      <x:c r="Q116" s="3"/>
      <x:c r="R116" s="3"/>
    </x:row>
    <x:row r="117" ht="20" customHeight="1">
      <x:c r="A117" s="3"/>
      <x:c r="B117" s="3"/>
      <x:c r="C117" s="3"/>
      <x:c r="D117" s="3"/>
      <x:c r="E117" s="3"/>
      <x:c r="F117" s="3"/>
      <x:c r="G117" s="3"/>
      <x:c r="H117" s="3"/>
      <x:c r="I117" s="3"/>
      <x:c r="J117" s="3"/>
      <x:c r="K117" s="3"/>
      <x:c r="L117" s="3"/>
      <x:c r="M117" s="3"/>
      <x:c r="N117" s="3"/>
      <x:c r="O117" s="3"/>
      <x:c r="P117" s="3"/>
      <x:c r="Q117" s="3"/>
      <x:c r="R117" s="3"/>
    </x:row>
    <x:row r="118" ht="20" customHeight="1">
      <x:c r="A118" s="3"/>
      <x:c r="B118" s="3"/>
      <x:c r="C118" s="3"/>
      <x:c r="D118" s="3"/>
      <x:c r="E118" s="3"/>
      <x:c r="F118" s="3"/>
      <x:c r="G118" s="3"/>
      <x:c r="H118" s="3"/>
      <x:c r="I118" s="3"/>
      <x:c r="J118" s="3"/>
      <x:c r="K118" s="3"/>
      <x:c r="L118" s="3"/>
      <x:c r="M118" s="3"/>
      <x:c r="N118" s="3"/>
      <x:c r="O118" s="3"/>
      <x:c r="P118" s="3"/>
      <x:c r="Q118" s="3"/>
      <x:c r="R118" s="3"/>
    </x:row>
    <x:row r="119" ht="20" customHeight="1">
      <x:c r="A119" s="3"/>
      <x:c r="B119" s="3"/>
      <x:c r="C119" s="3"/>
      <x:c r="D119" s="3"/>
      <x:c r="E119" s="3"/>
      <x:c r="F119" s="3"/>
      <x:c r="G119" s="3"/>
      <x:c r="H119" s="3"/>
      <x:c r="I119" s="3"/>
      <x:c r="J119" s="3"/>
      <x:c r="K119" s="3"/>
      <x:c r="L119" s="3"/>
      <x:c r="M119" s="3"/>
      <x:c r="N119" s="3"/>
      <x:c r="O119" s="3"/>
      <x:c r="P119" s="3"/>
      <x:c r="Q119" s="3"/>
      <x:c r="R119" s="3"/>
    </x:row>
    <x:row r="120" ht="20" customHeight="1">
      <x:c r="A120" s="3"/>
      <x:c r="B120" s="3"/>
      <x:c r="C120" s="3"/>
      <x:c r="D120" s="3"/>
      <x:c r="E120" s="3"/>
      <x:c r="F120" s="3"/>
      <x:c r="G120" s="3"/>
      <x:c r="H120" s="3"/>
      <x:c r="I120" s="3"/>
      <x:c r="J120" s="3"/>
      <x:c r="K120" s="3"/>
      <x:c r="L120" s="3"/>
      <x:c r="M120" s="3"/>
      <x:c r="N120" s="3"/>
      <x:c r="O120" s="3"/>
      <x:c r="P120" s="3"/>
      <x:c r="Q120" s="3"/>
      <x:c r="R120" s="3"/>
    </x:row>
    <x:row r="121" ht="20" customHeight="1">
      <x:c r="A121" s="3"/>
      <x:c r="B121" s="3"/>
      <x:c r="C121" s="3"/>
      <x:c r="D121" s="3"/>
      <x:c r="E121" s="3"/>
      <x:c r="F121" s="3"/>
      <x:c r="G121" s="3"/>
      <x:c r="H121" s="3"/>
      <x:c r="I121" s="3"/>
      <x:c r="J121" s="3"/>
      <x:c r="K121" s="3"/>
      <x:c r="L121" s="3"/>
      <x:c r="M121" s="3"/>
      <x:c r="N121" s="3"/>
      <x:c r="O121" s="3"/>
      <x:c r="P121" s="3"/>
      <x:c r="Q121" s="3"/>
      <x:c r="R121" s="3"/>
    </x:row>
    <x:row r="122" ht="20" customHeight="1">
      <x:c r="A122" s="3"/>
      <x:c r="B122" s="3"/>
      <x:c r="C122" s="3"/>
      <x:c r="D122" s="3"/>
      <x:c r="E122" s="3"/>
      <x:c r="F122" s="3"/>
      <x:c r="G122" s="3"/>
      <x:c r="H122" s="3"/>
      <x:c r="I122" s="3"/>
      <x:c r="J122" s="3"/>
      <x:c r="K122" s="3"/>
      <x:c r="L122" s="3"/>
      <x:c r="M122" s="3"/>
      <x:c r="N122" s="3"/>
      <x:c r="O122" s="3"/>
      <x:c r="P122" s="3"/>
      <x:c r="Q122" s="3"/>
      <x:c r="R122" s="3"/>
    </x:row>
    <x:row r="123" ht="20" customHeight="1">
      <x:c r="A123" s="3"/>
      <x:c r="B123" s="3"/>
      <x:c r="C123" s="3"/>
      <x:c r="D123" s="3"/>
      <x:c r="E123" s="3"/>
      <x:c r="F123" s="3"/>
      <x:c r="G123" s="3"/>
      <x:c r="H123" s="3"/>
      <x:c r="I123" s="3"/>
      <x:c r="J123" s="3"/>
      <x:c r="K123" s="3"/>
      <x:c r="L123" s="3"/>
      <x:c r="M123" s="3"/>
      <x:c r="N123" s="3"/>
      <x:c r="O123" s="3"/>
      <x:c r="P123" s="3"/>
      <x:c r="Q123" s="3"/>
      <x:c r="R123" s="3"/>
    </x:row>
    <x:row r="124" ht="20" customHeight="1">
      <x:c r="A124" s="3"/>
      <x:c r="B124" s="3"/>
      <x:c r="C124" s="3"/>
      <x:c r="D124" s="3"/>
      <x:c r="E124" s="3"/>
      <x:c r="F124" s="3"/>
      <x:c r="G124" s="3"/>
      <x:c r="H124" s="3"/>
      <x:c r="I124" s="3"/>
      <x:c r="J124" s="3"/>
      <x:c r="K124" s="3"/>
      <x:c r="L124" s="3"/>
      <x:c r="M124" s="3"/>
      <x:c r="N124" s="3"/>
      <x:c r="O124" s="3"/>
      <x:c r="P124" s="3"/>
      <x:c r="Q124" s="3"/>
      <x:c r="R124" s="3"/>
    </x:row>
    <x:row r="125" ht="20" customHeight="1">
      <x:c r="A125" s="3"/>
      <x:c r="B125" s="3"/>
      <x:c r="C125" s="3"/>
      <x:c r="D125" s="3"/>
      <x:c r="E125" s="3"/>
      <x:c r="F125" s="3"/>
      <x:c r="G125" s="3"/>
      <x:c r="H125" s="3"/>
      <x:c r="I125" s="3"/>
      <x:c r="J125" s="3"/>
      <x:c r="K125" s="3"/>
      <x:c r="L125" s="3"/>
      <x:c r="M125" s="3"/>
      <x:c r="N125" s="3"/>
      <x:c r="O125" s="3"/>
      <x:c r="P125" s="3"/>
      <x:c r="Q125" s="3"/>
      <x:c r="R125" s="3"/>
    </x:row>
    <x:row r="126" ht="20" customHeight="1">
      <x:c r="A126" s="3"/>
      <x:c r="B126" s="3"/>
      <x:c r="C126" s="3"/>
      <x:c r="D126" s="3"/>
      <x:c r="E126" s="3"/>
      <x:c r="F126" s="3"/>
      <x:c r="G126" s="3"/>
      <x:c r="H126" s="3"/>
      <x:c r="I126" s="3"/>
      <x:c r="J126" s="3"/>
      <x:c r="K126" s="3"/>
      <x:c r="L126" s="3"/>
      <x:c r="M126" s="3"/>
      <x:c r="N126" s="3"/>
      <x:c r="O126" s="3"/>
      <x:c r="P126" s="3"/>
      <x:c r="Q126" s="3"/>
      <x:c r="R126" s="3"/>
    </x:row>
    <x:row r="127" ht="20" customHeight="1">
      <x:c r="A127" s="3"/>
      <x:c r="B127" s="3"/>
      <x:c r="C127" s="3"/>
      <x:c r="D127" s="3"/>
      <x:c r="E127" s="3"/>
      <x:c r="F127" s="3"/>
      <x:c r="G127" s="3"/>
      <x:c r="H127" s="3"/>
      <x:c r="I127" s="3"/>
      <x:c r="J127" s="3"/>
      <x:c r="K127" s="3"/>
      <x:c r="L127" s="3"/>
      <x:c r="M127" s="3"/>
      <x:c r="N127" s="3"/>
      <x:c r="O127" s="3"/>
      <x:c r="P127" s="3"/>
      <x:c r="Q127" s="3"/>
      <x:c r="R127" s="3"/>
    </x:row>
    <x:row r="128" ht="20" customHeight="1">
      <x:c r="A128" s="3"/>
      <x:c r="B128" s="3"/>
      <x:c r="C128" s="3"/>
      <x:c r="D128" s="3"/>
      <x:c r="E128" s="3"/>
      <x:c r="F128" s="3"/>
      <x:c r="G128" s="3"/>
      <x:c r="H128" s="3"/>
      <x:c r="I128" s="3"/>
      <x:c r="J128" s="3"/>
      <x:c r="K128" s="3"/>
      <x:c r="L128" s="3"/>
      <x:c r="M128" s="3"/>
      <x:c r="N128" s="3"/>
      <x:c r="O128" s="3"/>
      <x:c r="P128" s="3"/>
      <x:c r="Q128" s="3"/>
      <x:c r="R128" s="3"/>
    </x:row>
    <x:row r="129" ht="20" customHeight="1">
      <x:c r="A129" s="3"/>
      <x:c r="B129" s="3"/>
      <x:c r="C129" s="3"/>
      <x:c r="D129" s="3"/>
      <x:c r="E129" s="3"/>
      <x:c r="F129" s="3"/>
      <x:c r="G129" s="3"/>
      <x:c r="H129" s="3"/>
      <x:c r="I129" s="3"/>
      <x:c r="J129" s="3"/>
      <x:c r="K129" s="3"/>
      <x:c r="L129" s="3"/>
      <x:c r="M129" s="3"/>
      <x:c r="N129" s="3"/>
      <x:c r="O129" s="3"/>
      <x:c r="P129" s="3"/>
      <x:c r="Q129" s="3"/>
      <x:c r="R129" s="3"/>
    </x:row>
    <x:row r="130" ht="20" customHeight="1">
      <x:c r="A130" s="3"/>
      <x:c r="B130" s="3"/>
      <x:c r="C130" s="3"/>
      <x:c r="D130" s="3"/>
      <x:c r="E130" s="3"/>
      <x:c r="F130" s="3"/>
      <x:c r="G130" s="3"/>
      <x:c r="H130" s="3"/>
      <x:c r="I130" s="3"/>
      <x:c r="J130" s="3"/>
      <x:c r="K130" s="3"/>
      <x:c r="L130" s="3"/>
      <x:c r="M130" s="3"/>
      <x:c r="N130" s="3"/>
      <x:c r="O130" s="3"/>
      <x:c r="P130" s="3"/>
      <x:c r="Q130" s="3"/>
      <x:c r="R130" s="3"/>
    </x:row>
    <x:row r="131" ht="20" customHeight="1">
      <x:c r="A131" s="3"/>
      <x:c r="B131" s="3"/>
      <x:c r="C131" s="3"/>
      <x:c r="D131" s="3"/>
      <x:c r="E131" s="3"/>
      <x:c r="F131" s="3"/>
      <x:c r="G131" s="3"/>
      <x:c r="H131" s="3"/>
      <x:c r="I131" s="3"/>
      <x:c r="J131" s="3"/>
      <x:c r="K131" s="3"/>
      <x:c r="L131" s="3"/>
      <x:c r="M131" s="3"/>
      <x:c r="N131" s="3"/>
      <x:c r="O131" s="3"/>
      <x:c r="P131" s="3"/>
      <x:c r="Q131" s="3"/>
      <x:c r="R131" s="3"/>
    </x:row>
    <x:row r="132" ht="20" customHeight="1">
      <x:c r="A132" s="3"/>
      <x:c r="B132" s="3"/>
      <x:c r="C132" s="3"/>
      <x:c r="D132" s="3"/>
      <x:c r="E132" s="3"/>
      <x:c r="F132" s="3"/>
      <x:c r="G132" s="3"/>
      <x:c r="H132" s="3"/>
      <x:c r="I132" s="3"/>
      <x:c r="J132" s="3"/>
      <x:c r="K132" s="3"/>
      <x:c r="L132" s="3"/>
      <x:c r="M132" s="3"/>
      <x:c r="N132" s="3"/>
      <x:c r="O132" s="3"/>
      <x:c r="P132" s="3"/>
      <x:c r="Q132" s="3"/>
      <x:c r="R132" s="3"/>
    </x:row>
    <x:row r="133" ht="20" customHeight="1">
      <x:c r="A133" s="3"/>
      <x:c r="B133" s="3"/>
      <x:c r="C133" s="3"/>
      <x:c r="D133" s="3"/>
      <x:c r="E133" s="3"/>
      <x:c r="F133" s="3"/>
      <x:c r="G133" s="3"/>
      <x:c r="H133" s="3"/>
      <x:c r="I133" s="3"/>
      <x:c r="J133" s="3"/>
      <x:c r="K133" s="3"/>
      <x:c r="L133" s="3"/>
      <x:c r="M133" s="3"/>
      <x:c r="N133" s="3"/>
      <x:c r="O133" s="3"/>
      <x:c r="P133" s="3"/>
      <x:c r="Q133" s="3"/>
      <x:c r="R133" s="3"/>
    </x:row>
    <x:row r="134" ht="20" customHeight="1">
      <x:c r="A134" s="3"/>
      <x:c r="B134" s="3"/>
      <x:c r="C134" s="3"/>
      <x:c r="D134" s="3"/>
      <x:c r="E134" s="3"/>
      <x:c r="F134" s="3"/>
      <x:c r="G134" s="3"/>
      <x:c r="H134" s="3"/>
      <x:c r="I134" s="3"/>
      <x:c r="J134" s="3"/>
      <x:c r="K134" s="3"/>
      <x:c r="L134" s="3"/>
      <x:c r="M134" s="3"/>
      <x:c r="N134" s="3"/>
      <x:c r="O134" s="3"/>
      <x:c r="P134" s="3"/>
      <x:c r="Q134" s="3"/>
      <x:c r="R134" s="3"/>
    </x:row>
    <x:row r="135" ht="20" customHeight="1">
      <x:c r="A135" s="3"/>
      <x:c r="B135" s="3"/>
      <x:c r="C135" s="3"/>
      <x:c r="D135" s="3"/>
      <x:c r="E135" s="3"/>
      <x:c r="F135" s="3"/>
      <x:c r="G135" s="3"/>
      <x:c r="H135" s="3"/>
      <x:c r="I135" s="3"/>
      <x:c r="J135" s="3"/>
      <x:c r="K135" s="3"/>
      <x:c r="L135" s="3"/>
      <x:c r="M135" s="3"/>
      <x:c r="N135" s="3"/>
      <x:c r="O135" s="3"/>
      <x:c r="P135" s="3"/>
      <x:c r="Q135" s="3"/>
      <x:c r="R135" s="3"/>
    </x:row>
    <x:row r="136" ht="20" customHeight="1">
      <x:c r="A136" s="3"/>
      <x:c r="B136" s="3"/>
      <x:c r="C136" s="3"/>
      <x:c r="D136" s="3"/>
      <x:c r="E136" s="3"/>
      <x:c r="F136" s="3"/>
      <x:c r="G136" s="3"/>
      <x:c r="H136" s="3"/>
      <x:c r="I136" s="3"/>
      <x:c r="J136" s="3"/>
      <x:c r="K136" s="3"/>
      <x:c r="L136" s="3"/>
      <x:c r="M136" s="3"/>
      <x:c r="N136" s="3"/>
      <x:c r="O136" s="3"/>
      <x:c r="P136" s="3"/>
      <x:c r="Q136" s="3"/>
      <x:c r="R136" s="3"/>
    </x:row>
    <x:row r="137" ht="20" customHeight="1">
      <x:c r="A137" s="3"/>
      <x:c r="B137" s="3"/>
      <x:c r="C137" s="3"/>
      <x:c r="D137" s="3"/>
      <x:c r="E137" s="3"/>
      <x:c r="F137" s="3"/>
      <x:c r="G137" s="3"/>
      <x:c r="H137" s="3"/>
      <x:c r="I137" s="3"/>
      <x:c r="J137" s="3"/>
      <x:c r="K137" s="3"/>
      <x:c r="L137" s="3"/>
      <x:c r="M137" s="3"/>
      <x:c r="N137" s="3"/>
      <x:c r="O137" s="3"/>
      <x:c r="P137" s="3"/>
      <x:c r="Q137" s="3"/>
      <x:c r="R137" s="3"/>
    </x:row>
    <x:row r="138" ht="20" customHeight="1">
      <x:c r="A138" s="3"/>
      <x:c r="B138" s="3"/>
      <x:c r="C138" s="3"/>
      <x:c r="D138" s="3"/>
      <x:c r="E138" s="3"/>
      <x:c r="F138" s="3"/>
      <x:c r="G138" s="3"/>
      <x:c r="H138" s="3"/>
      <x:c r="I138" s="3"/>
      <x:c r="J138" s="3"/>
      <x:c r="K138" s="3"/>
      <x:c r="L138" s="3"/>
      <x:c r="M138" s="3"/>
      <x:c r="N138" s="3"/>
      <x:c r="O138" s="3"/>
      <x:c r="P138" s="3"/>
      <x:c r="Q138" s="3"/>
      <x:c r="R138" s="3"/>
    </x:row>
    <x:row r="139" ht="20" customHeight="1">
      <x:c r="A139" s="3"/>
      <x:c r="B139" s="3"/>
      <x:c r="C139" s="3"/>
      <x:c r="D139" s="3"/>
      <x:c r="E139" s="3"/>
      <x:c r="F139" s="3"/>
      <x:c r="G139" s="3"/>
      <x:c r="H139" s="3"/>
      <x:c r="I139" s="3"/>
      <x:c r="J139" s="3"/>
      <x:c r="K139" s="3"/>
      <x:c r="L139" s="3"/>
      <x:c r="M139" s="3"/>
      <x:c r="N139" s="3"/>
      <x:c r="O139" s="3"/>
      <x:c r="P139" s="3"/>
      <x:c r="Q139" s="3"/>
      <x:c r="R139" s="3"/>
    </x:row>
    <x:row r="140" ht="20" customHeight="1">
      <x:c r="A140" s="3"/>
      <x:c r="B140" s="3"/>
      <x:c r="C140" s="3"/>
      <x:c r="D140" s="3"/>
      <x:c r="E140" s="3"/>
      <x:c r="F140" s="3"/>
      <x:c r="G140" s="3"/>
      <x:c r="H140" s="3"/>
      <x:c r="I140" s="3"/>
      <x:c r="J140" s="3"/>
      <x:c r="K140" s="3"/>
      <x:c r="L140" s="3"/>
      <x:c r="M140" s="3"/>
      <x:c r="N140" s="3"/>
      <x:c r="O140" s="3"/>
      <x:c r="P140" s="3"/>
      <x:c r="Q140" s="3"/>
      <x:c r="R140" s="3"/>
    </x:row>
    <x:row r="141" ht="20" customHeight="1">
      <x:c r="A141" s="3"/>
      <x:c r="B141" s="3"/>
      <x:c r="C141" s="3"/>
      <x:c r="D141" s="3"/>
      <x:c r="E141" s="3"/>
      <x:c r="F141" s="3"/>
      <x:c r="G141" s="3"/>
      <x:c r="H141" s="3"/>
      <x:c r="I141" s="3"/>
      <x:c r="J141" s="3"/>
      <x:c r="K141" s="3"/>
      <x:c r="L141" s="3"/>
      <x:c r="M141" s="3"/>
      <x:c r="N141" s="3"/>
      <x:c r="O141" s="3"/>
      <x:c r="P141" s="3"/>
      <x:c r="Q141" s="3"/>
      <x:c r="R141" s="3"/>
    </x:row>
    <x:row r="142" ht="20" customHeight="1">
      <x:c r="A142" s="3"/>
      <x:c r="B142" s="3"/>
      <x:c r="C142" s="3"/>
      <x:c r="D142" s="3"/>
      <x:c r="E142" s="3"/>
      <x:c r="F142" s="3"/>
      <x:c r="G142" s="3"/>
      <x:c r="H142" s="3"/>
      <x:c r="I142" s="3"/>
      <x:c r="J142" s="3"/>
      <x:c r="K142" s="3"/>
      <x:c r="L142" s="3"/>
      <x:c r="M142" s="3"/>
      <x:c r="N142" s="3"/>
      <x:c r="O142" s="3"/>
      <x:c r="P142" s="3"/>
      <x:c r="Q142" s="3"/>
      <x:c r="R142" s="3"/>
    </x:row>
    <x:row r="143" ht="20" customHeight="1">
      <x:c r="A143" s="3"/>
      <x:c r="B143" s="3"/>
      <x:c r="C143" s="3"/>
      <x:c r="D143" s="3"/>
      <x:c r="E143" s="3"/>
      <x:c r="F143" s="3"/>
      <x:c r="G143" s="3"/>
      <x:c r="H143" s="3"/>
      <x:c r="I143" s="3"/>
      <x:c r="J143" s="3"/>
      <x:c r="K143" s="3"/>
      <x:c r="L143" s="3"/>
      <x:c r="M143" s="3"/>
      <x:c r="N143" s="3"/>
      <x:c r="O143" s="3"/>
      <x:c r="P143" s="3"/>
      <x:c r="Q143" s="3"/>
      <x:c r="R143" s="3"/>
    </x:row>
    <x:row r="144" ht="20" customHeight="1">
      <x:c r="A144" s="3"/>
      <x:c r="B144" s="3"/>
      <x:c r="C144" s="3"/>
      <x:c r="D144" s="3"/>
      <x:c r="E144" s="3"/>
      <x:c r="F144" s="3"/>
      <x:c r="G144" s="3"/>
      <x:c r="H144" s="3"/>
      <x:c r="I144" s="3"/>
      <x:c r="J144" s="3"/>
      <x:c r="K144" s="3"/>
      <x:c r="L144" s="3"/>
      <x:c r="M144" s="3"/>
      <x:c r="N144" s="3"/>
      <x:c r="O144" s="3"/>
      <x:c r="P144" s="3"/>
      <x:c r="Q144" s="3"/>
      <x:c r="R144" s="3"/>
    </x:row>
    <x:row r="145" ht="20" customHeight="1">
      <x:c r="A145" s="3"/>
      <x:c r="B145" s="3"/>
      <x:c r="C145" s="3"/>
      <x:c r="D145" s="3"/>
      <x:c r="E145" s="3"/>
      <x:c r="F145" s="3"/>
      <x:c r="G145" s="3"/>
      <x:c r="H145" s="3"/>
      <x:c r="I145" s="3"/>
      <x:c r="J145" s="3"/>
      <x:c r="K145" s="3"/>
      <x:c r="L145" s="3"/>
      <x:c r="M145" s="3"/>
      <x:c r="N145" s="3"/>
      <x:c r="O145" s="3"/>
      <x:c r="P145" s="3"/>
      <x:c r="Q145" s="3"/>
      <x:c r="R145" s="3"/>
    </x:row>
    <x:row r="146" ht="20" customHeight="1">
      <x:c r="A146" s="3"/>
      <x:c r="B146" s="3"/>
      <x:c r="C146" s="3"/>
      <x:c r="D146" s="3"/>
      <x:c r="E146" s="3"/>
      <x:c r="F146" s="3"/>
      <x:c r="G146" s="3"/>
      <x:c r="H146" s="3"/>
      <x:c r="I146" s="3"/>
      <x:c r="J146" s="3"/>
      <x:c r="K146" s="3"/>
      <x:c r="L146" s="3"/>
      <x:c r="M146" s="3"/>
      <x:c r="N146" s="3"/>
      <x:c r="O146" s="3"/>
      <x:c r="P146" s="3"/>
      <x:c r="Q146" s="3"/>
      <x:c r="R146" s="3"/>
    </x:row>
    <x:row r="147" ht="20" customHeight="1">
      <x:c r="A147" s="3"/>
      <x:c r="B147" s="3"/>
      <x:c r="C147" s="3"/>
      <x:c r="D147" s="3"/>
      <x:c r="E147" s="3"/>
      <x:c r="F147" s="3"/>
      <x:c r="G147" s="3"/>
      <x:c r="H147" s="3"/>
      <x:c r="I147" s="3"/>
      <x:c r="J147" s="3"/>
      <x:c r="K147" s="3"/>
      <x:c r="L147" s="3"/>
      <x:c r="M147" s="3"/>
      <x:c r="N147" s="3"/>
      <x:c r="O147" s="3"/>
      <x:c r="P147" s="3"/>
      <x:c r="Q147" s="3"/>
      <x:c r="R147" s="3"/>
    </x:row>
    <x:row r="148" ht="20" customHeight="1">
      <x:c r="A148" s="3"/>
      <x:c r="B148" s="3"/>
      <x:c r="C148" s="3"/>
      <x:c r="D148" s="3"/>
      <x:c r="E148" s="3"/>
      <x:c r="F148" s="3"/>
      <x:c r="G148" s="3"/>
      <x:c r="H148" s="3"/>
      <x:c r="I148" s="3"/>
      <x:c r="J148" s="3"/>
      <x:c r="K148" s="3"/>
      <x:c r="L148" s="3"/>
      <x:c r="M148" s="3"/>
      <x:c r="N148" s="3"/>
      <x:c r="O148" s="3"/>
      <x:c r="P148" s="3"/>
      <x:c r="Q148" s="3"/>
      <x:c r="R148" s="3"/>
    </x:row>
    <x:row r="149" ht="20" customHeight="1">
      <x:c r="A149" s="3"/>
      <x:c r="B149" s="3"/>
      <x:c r="C149" s="3"/>
      <x:c r="D149" s="3"/>
      <x:c r="E149" s="3"/>
      <x:c r="F149" s="3"/>
      <x:c r="G149" s="3"/>
      <x:c r="H149" s="3"/>
      <x:c r="I149" s="3"/>
      <x:c r="J149" s="3"/>
      <x:c r="K149" s="3"/>
      <x:c r="L149" s="3"/>
      <x:c r="M149" s="3"/>
      <x:c r="N149" s="3"/>
      <x:c r="O149" s="3"/>
      <x:c r="P149" s="3"/>
      <x:c r="Q149" s="3"/>
      <x:c r="R149" s="3"/>
    </x:row>
    <x:row r="150" ht="20" customHeight="1">
      <x:c r="A150" s="3"/>
      <x:c r="B150" s="3"/>
      <x:c r="C150" s="3"/>
      <x:c r="D150" s="3"/>
      <x:c r="E150" s="3"/>
      <x:c r="F150" s="3"/>
      <x:c r="G150" s="3"/>
      <x:c r="H150" s="3"/>
      <x:c r="I150" s="3"/>
      <x:c r="J150" s="3"/>
      <x:c r="K150" s="3"/>
      <x:c r="L150" s="3"/>
      <x:c r="M150" s="3"/>
      <x:c r="N150" s="3"/>
      <x:c r="O150" s="3"/>
      <x:c r="P150" s="3"/>
      <x:c r="Q150" s="3"/>
      <x:c r="R150" s="3"/>
    </x:row>
    <x:row r="151" ht="20" customHeight="1">
      <x:c r="A151" s="3"/>
      <x:c r="B151" s="3"/>
      <x:c r="C151" s="3"/>
      <x:c r="D151" s="3"/>
      <x:c r="E151" s="3"/>
      <x:c r="F151" s="3"/>
      <x:c r="G151" s="3"/>
      <x:c r="H151" s="3"/>
      <x:c r="I151" s="3"/>
      <x:c r="J151" s="3"/>
      <x:c r="K151" s="3"/>
      <x:c r="L151" s="3"/>
      <x:c r="M151" s="3"/>
      <x:c r="N151" s="3"/>
      <x:c r="O151" s="3"/>
      <x:c r="P151" s="3"/>
      <x:c r="Q151" s="3"/>
      <x:c r="R151" s="3"/>
    </x:row>
    <x:row r="152" ht="20" customHeight="1">
      <x:c r="A152" s="3"/>
      <x:c r="B152" s="3"/>
      <x:c r="C152" s="3"/>
      <x:c r="D152" s="3"/>
      <x:c r="E152" s="3"/>
      <x:c r="F152" s="3"/>
      <x:c r="G152" s="3"/>
      <x:c r="H152" s="3"/>
      <x:c r="I152" s="3"/>
      <x:c r="J152" s="3"/>
      <x:c r="K152" s="3"/>
      <x:c r="L152" s="3"/>
      <x:c r="M152" s="3"/>
      <x:c r="N152" s="3"/>
      <x:c r="O152" s="3"/>
      <x:c r="P152" s="3"/>
      <x:c r="Q152" s="3"/>
      <x:c r="R152" s="3"/>
    </x:row>
    <x:row r="153" ht="20" customHeight="1">
      <x:c r="A153" s="3"/>
      <x:c r="B153" s="3"/>
      <x:c r="C153" s="3"/>
      <x:c r="D153" s="3"/>
      <x:c r="E153" s="3"/>
      <x:c r="F153" s="3"/>
      <x:c r="G153" s="3"/>
      <x:c r="H153" s="3"/>
      <x:c r="I153" s="3"/>
      <x:c r="J153" s="3"/>
      <x:c r="K153" s="3"/>
      <x:c r="L153" s="3"/>
      <x:c r="M153" s="3"/>
      <x:c r="N153" s="3"/>
      <x:c r="O153" s="3"/>
      <x:c r="P153" s="3"/>
      <x:c r="Q153" s="3"/>
      <x:c r="R153" s="3"/>
    </x:row>
    <x:row r="154" ht="20" customHeight="1">
      <x:c r="A154" s="3"/>
      <x:c r="B154" s="3"/>
      <x:c r="C154" s="3"/>
      <x:c r="D154" s="3"/>
      <x:c r="E154" s="3"/>
      <x:c r="F154" s="3"/>
      <x:c r="G154" s="3"/>
      <x:c r="H154" s="3"/>
      <x:c r="I154" s="3"/>
      <x:c r="J154" s="3"/>
      <x:c r="K154" s="3"/>
      <x:c r="L154" s="3"/>
      <x:c r="M154" s="3"/>
      <x:c r="N154" s="3"/>
      <x:c r="O154" s="3"/>
      <x:c r="P154" s="3"/>
      <x:c r="Q154" s="3"/>
      <x:c r="R154" s="3"/>
    </x:row>
    <x:row r="155" ht="20" customHeight="1">
      <x:c r="A155" s="3"/>
      <x:c r="B155" s="3"/>
      <x:c r="C155" s="3"/>
      <x:c r="D155" s="3"/>
      <x:c r="E155" s="3"/>
      <x:c r="F155" s="3"/>
      <x:c r="G155" s="3"/>
      <x:c r="H155" s="3"/>
      <x:c r="I155" s="3"/>
      <x:c r="J155" s="3"/>
      <x:c r="K155" s="3"/>
      <x:c r="L155" s="3"/>
      <x:c r="M155" s="3"/>
      <x:c r="N155" s="3"/>
      <x:c r="O155" s="3"/>
      <x:c r="P155" s="3"/>
      <x:c r="Q155" s="3"/>
      <x:c r="R155" s="3"/>
    </x:row>
    <x:row r="156" ht="20" customHeight="1">
      <x:c r="A156" s="3"/>
      <x:c r="B156" s="3"/>
      <x:c r="C156" s="3"/>
      <x:c r="D156" s="3"/>
      <x:c r="E156" s="3"/>
      <x:c r="F156" s="3"/>
      <x:c r="G156" s="3"/>
      <x:c r="H156" s="3"/>
      <x:c r="I156" s="3"/>
      <x:c r="J156" s="3"/>
      <x:c r="K156" s="3"/>
      <x:c r="L156" s="3"/>
      <x:c r="M156" s="3"/>
      <x:c r="N156" s="3"/>
      <x:c r="O156" s="3"/>
      <x:c r="P156" s="3"/>
      <x:c r="Q156" s="3"/>
      <x:c r="R156" s="3"/>
    </x:row>
    <x:row r="157" ht="20" customHeight="1">
      <x:c r="A157" s="3"/>
      <x:c r="B157" s="3"/>
      <x:c r="C157" s="3"/>
      <x:c r="D157" s="3"/>
      <x:c r="E157" s="3"/>
      <x:c r="F157" s="3"/>
      <x:c r="G157" s="3"/>
      <x:c r="H157" s="3"/>
      <x:c r="I157" s="3"/>
      <x:c r="J157" s="3"/>
      <x:c r="K157" s="3"/>
      <x:c r="L157" s="3"/>
      <x:c r="M157" s="3"/>
      <x:c r="N157" s="3"/>
      <x:c r="O157" s="3"/>
      <x:c r="P157" s="3"/>
      <x:c r="Q157" s="3"/>
      <x:c r="R157" s="3"/>
    </x:row>
    <x:row r="158" ht="20" customHeight="1">
      <x:c r="A158" s="3"/>
      <x:c r="B158" s="3"/>
      <x:c r="C158" s="3"/>
      <x:c r="D158" s="3"/>
      <x:c r="E158" s="3"/>
      <x:c r="F158" s="3"/>
      <x:c r="G158" s="3"/>
      <x:c r="H158" s="3"/>
      <x:c r="I158" s="3"/>
      <x:c r="J158" s="3"/>
      <x:c r="K158" s="3"/>
      <x:c r="L158" s="3"/>
      <x:c r="M158" s="3"/>
      <x:c r="N158" s="3"/>
      <x:c r="O158" s="3"/>
      <x:c r="P158" s="3"/>
      <x:c r="Q158" s="3"/>
      <x:c r="R158" s="3"/>
    </x:row>
    <x:row r="159" ht="20" customHeight="1">
      <x:c r="A159" s="3"/>
      <x:c r="B159" s="3"/>
      <x:c r="C159" s="3"/>
      <x:c r="D159" s="3"/>
      <x:c r="E159" s="3"/>
      <x:c r="F159" s="3"/>
      <x:c r="G159" s="3"/>
      <x:c r="H159" s="3"/>
      <x:c r="I159" s="3"/>
      <x:c r="J159" s="3"/>
      <x:c r="K159" s="3"/>
      <x:c r="L159" s="3"/>
      <x:c r="M159" s="3"/>
      <x:c r="N159" s="3"/>
      <x:c r="O159" s="3"/>
      <x:c r="P159" s="3"/>
      <x:c r="Q159" s="3"/>
      <x:c r="R159" s="3"/>
    </x:row>
    <x:row r="160" ht="20" customHeight="1">
      <x:c r="A160" s="3"/>
      <x:c r="B160" s="3"/>
      <x:c r="C160" s="3"/>
      <x:c r="D160" s="3"/>
      <x:c r="E160" s="3"/>
      <x:c r="F160" s="3"/>
      <x:c r="G160" s="3"/>
      <x:c r="H160" s="3"/>
      <x:c r="I160" s="3"/>
      <x:c r="J160" s="3"/>
      <x:c r="K160" s="3"/>
      <x:c r="L160" s="3"/>
      <x:c r="M160" s="3"/>
      <x:c r="N160" s="3"/>
      <x:c r="O160" s="3"/>
      <x:c r="P160" s="3"/>
      <x:c r="Q160" s="3"/>
      <x:c r="R160" s="3"/>
    </x:row>
  </x:sheetData>
  <x:mergeCells>
    <x:mergeCell ref="A1:L2"/>
    <x:mergeCell ref="A3:L3"/>
    <x:mergeCell ref="A4:C4"/>
    <x:mergeCell ref="D4:F4"/>
    <x:mergeCell ref="G4:I4"/>
    <x:mergeCell ref="J4:L4"/>
    <x:mergeCell ref="A5:L5"/>
    <x:mergeCell ref="A6:L7"/>
    <x:mergeCell ref="A17:G20"/>
  </x:mergeCells>
  <x:pageMargins left="0.7" right="0.7" top="0.75" bottom="0.75" header="0.3" footer="0.3"/>
</x:worksheet>
</file>